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155" tabRatio="863" activeTab="2"/>
  </bookViews>
  <sheets>
    <sheet name="сводная" sheetId="42" r:id="rId1"/>
    <sheet name="1-3 день" sheetId="43" r:id="rId2"/>
    <sheet name="4-6 день" sheetId="44" r:id="rId3"/>
    <sheet name="7-9 день" sheetId="45" r:id="rId4"/>
    <sheet name="10-12 день" sheetId="46" r:id="rId5"/>
    <sheet name="000" sheetId="29" r:id="rId6"/>
  </sheets>
  <definedNames>
    <definedName name="_xlnm.Print_Area" localSheetId="4">'10-12 день'!$A$1:$O$66</definedName>
    <definedName name="_xlnm.Print_Area" localSheetId="3">'7-9 день'!$A$1:$O$59</definedName>
  </definedNames>
  <calcPr calcId="152511"/>
</workbook>
</file>

<file path=xl/calcChain.xml><?xml version="1.0" encoding="utf-8"?>
<calcChain xmlns="http://schemas.openxmlformats.org/spreadsheetml/2006/main">
  <c r="L35" i="46" l="1"/>
  <c r="K35" i="46"/>
  <c r="J35" i="46"/>
  <c r="I35" i="46"/>
  <c r="H35" i="46"/>
  <c r="G35" i="46"/>
  <c r="M35" i="46" s="1"/>
  <c r="F58" i="43"/>
  <c r="L31" i="46"/>
  <c r="K31" i="46"/>
  <c r="J31" i="46"/>
  <c r="I31" i="46"/>
  <c r="H31" i="46"/>
  <c r="G31" i="46"/>
  <c r="L46" i="44"/>
  <c r="K46" i="44"/>
  <c r="J46" i="44"/>
  <c r="I46" i="44"/>
  <c r="H46" i="44"/>
  <c r="N46" i="44" s="1"/>
  <c r="G46" i="44"/>
  <c r="M46" i="44" s="1"/>
  <c r="L28" i="43"/>
  <c r="K28" i="43"/>
  <c r="J28" i="43"/>
  <c r="I28" i="43"/>
  <c r="H28" i="43"/>
  <c r="N28" i="43" s="1"/>
  <c r="G28" i="43"/>
  <c r="M28" i="43" s="1"/>
  <c r="M31" i="46" l="1"/>
  <c r="N35" i="46"/>
  <c r="N31" i="46"/>
  <c r="L63" i="43" l="1"/>
  <c r="K63" i="43"/>
  <c r="J63" i="43"/>
  <c r="I63" i="43"/>
  <c r="H63" i="43"/>
  <c r="G63" i="43"/>
  <c r="M63" i="43" s="1"/>
  <c r="L62" i="43"/>
  <c r="K62" i="43"/>
  <c r="J62" i="43"/>
  <c r="I62" i="43"/>
  <c r="H62" i="43"/>
  <c r="N62" i="43" s="1"/>
  <c r="G62" i="43"/>
  <c r="L61" i="43"/>
  <c r="K61" i="43"/>
  <c r="J61" i="43"/>
  <c r="I61" i="43"/>
  <c r="H61" i="43"/>
  <c r="G61" i="43"/>
  <c r="M61" i="43" s="1"/>
  <c r="L60" i="43"/>
  <c r="K60" i="43"/>
  <c r="J60" i="43"/>
  <c r="I60" i="43"/>
  <c r="H60" i="43"/>
  <c r="N60" i="43" s="1"/>
  <c r="G60" i="43"/>
  <c r="L32" i="44"/>
  <c r="K32" i="44"/>
  <c r="J32" i="44"/>
  <c r="I32" i="44"/>
  <c r="H32" i="44"/>
  <c r="G32" i="44"/>
  <c r="L31" i="44"/>
  <c r="K31" i="44"/>
  <c r="J31" i="44"/>
  <c r="I31" i="44"/>
  <c r="H31" i="44"/>
  <c r="G31" i="44"/>
  <c r="L30" i="44"/>
  <c r="K30" i="44"/>
  <c r="J30" i="44"/>
  <c r="I30" i="44"/>
  <c r="H30" i="44"/>
  <c r="G30" i="44"/>
  <c r="M30" i="44" l="1"/>
  <c r="M32" i="44"/>
  <c r="N30" i="44"/>
  <c r="N32" i="44"/>
  <c r="N61" i="43"/>
  <c r="N63" i="43"/>
  <c r="M60" i="43"/>
  <c r="M62" i="43"/>
  <c r="M31" i="44"/>
  <c r="N31" i="44"/>
  <c r="L53" i="46"/>
  <c r="K53" i="46"/>
  <c r="J53" i="46"/>
  <c r="I53" i="46"/>
  <c r="H53" i="46"/>
  <c r="N53" i="46" s="1"/>
  <c r="G53" i="46"/>
  <c r="M53" i="46" s="1"/>
  <c r="L52" i="46"/>
  <c r="K52" i="46"/>
  <c r="J52" i="46"/>
  <c r="I52" i="46"/>
  <c r="H52" i="46"/>
  <c r="G52" i="46"/>
  <c r="L51" i="46"/>
  <c r="K51" i="46"/>
  <c r="J51" i="46"/>
  <c r="I51" i="46"/>
  <c r="H51" i="46"/>
  <c r="N51" i="46" s="1"/>
  <c r="G51" i="46"/>
  <c r="M51" i="46" s="1"/>
  <c r="L50" i="46"/>
  <c r="K50" i="46"/>
  <c r="J50" i="46"/>
  <c r="I50" i="46"/>
  <c r="H50" i="46"/>
  <c r="G50" i="46"/>
  <c r="L49" i="46"/>
  <c r="K49" i="46"/>
  <c r="J49" i="46"/>
  <c r="I49" i="46"/>
  <c r="H49" i="46"/>
  <c r="N49" i="46" s="1"/>
  <c r="G49" i="46"/>
  <c r="M49" i="46" s="1"/>
  <c r="M50" i="46" l="1"/>
  <c r="M52" i="46"/>
  <c r="N50" i="46"/>
  <c r="N52" i="46"/>
  <c r="L46" i="46"/>
  <c r="K46" i="46"/>
  <c r="J46" i="46"/>
  <c r="I46" i="46"/>
  <c r="H46" i="46"/>
  <c r="G46" i="46"/>
  <c r="L43" i="46"/>
  <c r="K43" i="46"/>
  <c r="J43" i="46"/>
  <c r="I43" i="46"/>
  <c r="H43" i="46"/>
  <c r="G43" i="46"/>
  <c r="M43" i="46" s="1"/>
  <c r="L44" i="46"/>
  <c r="K44" i="46"/>
  <c r="J44" i="46"/>
  <c r="I44" i="46"/>
  <c r="H44" i="46"/>
  <c r="G44" i="46"/>
  <c r="M44" i="46" l="1"/>
  <c r="M46" i="46"/>
  <c r="N44" i="46"/>
  <c r="N46" i="46"/>
  <c r="N43" i="46"/>
  <c r="L36" i="46"/>
  <c r="K36" i="46"/>
  <c r="J36" i="46"/>
  <c r="I36" i="46"/>
  <c r="H36" i="46"/>
  <c r="G36" i="46"/>
  <c r="M36" i="46" s="1"/>
  <c r="L34" i="46"/>
  <c r="K34" i="46"/>
  <c r="J34" i="46"/>
  <c r="I34" i="46"/>
  <c r="H34" i="46"/>
  <c r="N34" i="46" s="1"/>
  <c r="G34" i="46"/>
  <c r="L33" i="46"/>
  <c r="K33" i="46"/>
  <c r="J33" i="46"/>
  <c r="I33" i="46"/>
  <c r="H33" i="46"/>
  <c r="G33" i="46"/>
  <c r="M33" i="46" s="1"/>
  <c r="L32" i="46"/>
  <c r="K32" i="46"/>
  <c r="J32" i="46"/>
  <c r="I32" i="46"/>
  <c r="H32" i="46"/>
  <c r="N32" i="46" s="1"/>
  <c r="G32" i="46"/>
  <c r="L28" i="46"/>
  <c r="K28" i="46"/>
  <c r="J28" i="46"/>
  <c r="I28" i="46"/>
  <c r="H28" i="46"/>
  <c r="G28" i="46"/>
  <c r="M28" i="46" s="1"/>
  <c r="L26" i="46"/>
  <c r="K26" i="46"/>
  <c r="J26" i="46"/>
  <c r="I26" i="46"/>
  <c r="H26" i="46"/>
  <c r="N26" i="46" s="1"/>
  <c r="G26" i="46"/>
  <c r="L25" i="46"/>
  <c r="K25" i="46"/>
  <c r="J25" i="46"/>
  <c r="I25" i="46"/>
  <c r="H25" i="46"/>
  <c r="G25" i="46"/>
  <c r="M25" i="46" s="1"/>
  <c r="L18" i="46"/>
  <c r="K18" i="46"/>
  <c r="J18" i="46"/>
  <c r="I18" i="46"/>
  <c r="H18" i="46"/>
  <c r="N18" i="46" s="1"/>
  <c r="G18" i="46"/>
  <c r="L17" i="46"/>
  <c r="K17" i="46"/>
  <c r="J17" i="46"/>
  <c r="I17" i="46"/>
  <c r="H17" i="46"/>
  <c r="G17" i="46"/>
  <c r="M17" i="46" s="1"/>
  <c r="L16" i="46"/>
  <c r="K16" i="46"/>
  <c r="J16" i="46"/>
  <c r="I16" i="46"/>
  <c r="H16" i="46"/>
  <c r="N16" i="46" s="1"/>
  <c r="G16" i="46"/>
  <c r="L15" i="46"/>
  <c r="K15" i="46"/>
  <c r="J15" i="46"/>
  <c r="I15" i="46"/>
  <c r="H15" i="46"/>
  <c r="G15" i="46"/>
  <c r="M15" i="46" s="1"/>
  <c r="L14" i="46"/>
  <c r="K14" i="46"/>
  <c r="J14" i="46"/>
  <c r="I14" i="46"/>
  <c r="H14" i="46"/>
  <c r="N14" i="46" s="1"/>
  <c r="G14" i="46"/>
  <c r="L11" i="46"/>
  <c r="K11" i="46"/>
  <c r="J11" i="46"/>
  <c r="I11" i="46"/>
  <c r="H11" i="46"/>
  <c r="G11" i="46"/>
  <c r="M11" i="46" s="1"/>
  <c r="L9" i="46"/>
  <c r="K9" i="46"/>
  <c r="J9" i="46"/>
  <c r="I9" i="46"/>
  <c r="H9" i="46"/>
  <c r="N9" i="46" s="1"/>
  <c r="G9" i="46"/>
  <c r="L8" i="46"/>
  <c r="K8" i="46"/>
  <c r="J8" i="46"/>
  <c r="I8" i="46"/>
  <c r="H8" i="46"/>
  <c r="G8" i="46"/>
  <c r="M8" i="46" s="1"/>
  <c r="L7" i="46"/>
  <c r="K7" i="46"/>
  <c r="J7" i="46"/>
  <c r="I7" i="46"/>
  <c r="H7" i="46"/>
  <c r="N7" i="46" s="1"/>
  <c r="G7" i="46"/>
  <c r="L54" i="45"/>
  <c r="K54" i="45"/>
  <c r="J54" i="45"/>
  <c r="I54" i="45"/>
  <c r="H54" i="45"/>
  <c r="N54" i="45" s="1"/>
  <c r="G54" i="45"/>
  <c r="M54" i="45" s="1"/>
  <c r="L53" i="45"/>
  <c r="K53" i="45"/>
  <c r="J53" i="45"/>
  <c r="I53" i="45"/>
  <c r="H53" i="45"/>
  <c r="N53" i="45" s="1"/>
  <c r="G53" i="45"/>
  <c r="M53" i="45" s="1"/>
  <c r="L52" i="45"/>
  <c r="K52" i="45"/>
  <c r="J52" i="45"/>
  <c r="I52" i="45"/>
  <c r="H52" i="45"/>
  <c r="N52" i="45" s="1"/>
  <c r="G52" i="45"/>
  <c r="M52" i="45" s="1"/>
  <c r="L51" i="45"/>
  <c r="K51" i="45"/>
  <c r="J51" i="45"/>
  <c r="I51" i="45"/>
  <c r="H51" i="45"/>
  <c r="N51" i="45" s="1"/>
  <c r="G51" i="45"/>
  <c r="M51" i="45" s="1"/>
  <c r="L50" i="45"/>
  <c r="K50" i="45"/>
  <c r="J50" i="45"/>
  <c r="I50" i="45"/>
  <c r="H50" i="45"/>
  <c r="N50" i="45" s="1"/>
  <c r="G50" i="45"/>
  <c r="M50" i="45" s="1"/>
  <c r="L49" i="45"/>
  <c r="K49" i="45"/>
  <c r="J49" i="45"/>
  <c r="I49" i="45"/>
  <c r="H49" i="45"/>
  <c r="N49" i="45" s="1"/>
  <c r="G49" i="45"/>
  <c r="M49" i="45" s="1"/>
  <c r="L46" i="45"/>
  <c r="K46" i="45"/>
  <c r="J46" i="45"/>
  <c r="I46" i="45"/>
  <c r="H46" i="45"/>
  <c r="N46" i="45" s="1"/>
  <c r="G46" i="45"/>
  <c r="M46" i="45" s="1"/>
  <c r="L44" i="45"/>
  <c r="K44" i="45"/>
  <c r="J44" i="45"/>
  <c r="I44" i="45"/>
  <c r="H44" i="45"/>
  <c r="N44" i="45" s="1"/>
  <c r="G44" i="45"/>
  <c r="M44" i="45" s="1"/>
  <c r="L43" i="45"/>
  <c r="K43" i="45"/>
  <c r="J43" i="45"/>
  <c r="I43" i="45"/>
  <c r="H43" i="45"/>
  <c r="N43" i="45" s="1"/>
  <c r="G43" i="45"/>
  <c r="M43" i="45" s="1"/>
  <c r="L42" i="45"/>
  <c r="K42" i="45"/>
  <c r="J42" i="45"/>
  <c r="I42" i="45"/>
  <c r="H42" i="45"/>
  <c r="N42" i="45" s="1"/>
  <c r="G42" i="45"/>
  <c r="M42" i="45" s="1"/>
  <c r="L36" i="45"/>
  <c r="K36" i="45"/>
  <c r="J36" i="45"/>
  <c r="I36" i="45"/>
  <c r="H36" i="45"/>
  <c r="N36" i="45" s="1"/>
  <c r="G36" i="45"/>
  <c r="M36" i="45" s="1"/>
  <c r="L34" i="45"/>
  <c r="K34" i="45"/>
  <c r="J34" i="45"/>
  <c r="I34" i="45"/>
  <c r="H34" i="45"/>
  <c r="N34" i="45" s="1"/>
  <c r="G34" i="45"/>
  <c r="M34" i="45" s="1"/>
  <c r="L33" i="45"/>
  <c r="K33" i="45"/>
  <c r="J33" i="45"/>
  <c r="I33" i="45"/>
  <c r="H33" i="45"/>
  <c r="N33" i="45" s="1"/>
  <c r="G33" i="45"/>
  <c r="M33" i="45" s="1"/>
  <c r="L32" i="45"/>
  <c r="K32" i="45"/>
  <c r="J32" i="45"/>
  <c r="I32" i="45"/>
  <c r="H32" i="45"/>
  <c r="N32" i="45" s="1"/>
  <c r="G32" i="45"/>
  <c r="M32" i="45" s="1"/>
  <c r="L31" i="45"/>
  <c r="K31" i="45"/>
  <c r="J31" i="45"/>
  <c r="I31" i="45"/>
  <c r="H31" i="45"/>
  <c r="N31" i="45" s="1"/>
  <c r="G31" i="45"/>
  <c r="M31" i="45" s="1"/>
  <c r="L28" i="45"/>
  <c r="K28" i="45"/>
  <c r="J28" i="45"/>
  <c r="I28" i="45"/>
  <c r="H28" i="45"/>
  <c r="N28" i="45" s="1"/>
  <c r="G28" i="45"/>
  <c r="M28" i="45" s="1"/>
  <c r="L26" i="45"/>
  <c r="K26" i="45"/>
  <c r="J26" i="45"/>
  <c r="I26" i="45"/>
  <c r="H26" i="45"/>
  <c r="N26" i="45" s="1"/>
  <c r="G26" i="45"/>
  <c r="M26" i="45" s="1"/>
  <c r="L25" i="45"/>
  <c r="K25" i="45"/>
  <c r="J25" i="45"/>
  <c r="I25" i="45"/>
  <c r="H25" i="45"/>
  <c r="N25" i="45" s="1"/>
  <c r="G25" i="45"/>
  <c r="M25" i="45" s="1"/>
  <c r="L18" i="45"/>
  <c r="K18" i="45"/>
  <c r="J18" i="45"/>
  <c r="I18" i="45"/>
  <c r="H18" i="45"/>
  <c r="N18" i="45" s="1"/>
  <c r="G18" i="45"/>
  <c r="M18" i="45" s="1"/>
  <c r="L17" i="45"/>
  <c r="K17" i="45"/>
  <c r="J17" i="45"/>
  <c r="I17" i="45"/>
  <c r="H17" i="45"/>
  <c r="N17" i="45" s="1"/>
  <c r="G17" i="45"/>
  <c r="M17" i="45" s="1"/>
  <c r="L16" i="45"/>
  <c r="K16" i="45"/>
  <c r="J16" i="45"/>
  <c r="I16" i="45"/>
  <c r="H16" i="45"/>
  <c r="N16" i="45" s="1"/>
  <c r="G16" i="45"/>
  <c r="M16" i="45" s="1"/>
  <c r="L15" i="45"/>
  <c r="K15" i="45"/>
  <c r="J15" i="45"/>
  <c r="I15" i="45"/>
  <c r="H15" i="45"/>
  <c r="N15" i="45" s="1"/>
  <c r="G15" i="45"/>
  <c r="M15" i="45" s="1"/>
  <c r="L14" i="45"/>
  <c r="K14" i="45"/>
  <c r="J14" i="45"/>
  <c r="I14" i="45"/>
  <c r="H14" i="45"/>
  <c r="N14" i="45" s="1"/>
  <c r="G14" i="45"/>
  <c r="M14" i="45" s="1"/>
  <c r="L11" i="45"/>
  <c r="K11" i="45"/>
  <c r="J11" i="45"/>
  <c r="I11" i="45"/>
  <c r="H11" i="45"/>
  <c r="N11" i="45" s="1"/>
  <c r="G11" i="45"/>
  <c r="M11" i="45" s="1"/>
  <c r="L9" i="45"/>
  <c r="K9" i="45"/>
  <c r="J9" i="45"/>
  <c r="I9" i="45"/>
  <c r="H9" i="45"/>
  <c r="N9" i="45" s="1"/>
  <c r="G9" i="45"/>
  <c r="M9" i="45" s="1"/>
  <c r="L8" i="45"/>
  <c r="K8" i="45"/>
  <c r="J8" i="45"/>
  <c r="I8" i="45"/>
  <c r="H8" i="45"/>
  <c r="N8" i="45" s="1"/>
  <c r="G8" i="45"/>
  <c r="M8" i="45" s="1"/>
  <c r="L7" i="45"/>
  <c r="K7" i="45"/>
  <c r="J7" i="45"/>
  <c r="I7" i="45"/>
  <c r="H7" i="45"/>
  <c r="N7" i="45" s="1"/>
  <c r="G7" i="45"/>
  <c r="M7" i="45" s="1"/>
  <c r="L49" i="44"/>
  <c r="K49" i="44"/>
  <c r="J49" i="44"/>
  <c r="I49" i="44"/>
  <c r="H49" i="44"/>
  <c r="N49" i="44" s="1"/>
  <c r="G49" i="44"/>
  <c r="M49" i="44" s="1"/>
  <c r="L48" i="44"/>
  <c r="K48" i="44"/>
  <c r="J48" i="44"/>
  <c r="I48" i="44"/>
  <c r="H48" i="44"/>
  <c r="G48" i="44"/>
  <c r="L47" i="44"/>
  <c r="K47" i="44"/>
  <c r="J47" i="44"/>
  <c r="I47" i="44"/>
  <c r="H47" i="44"/>
  <c r="N47" i="44" s="1"/>
  <c r="G47" i="44"/>
  <c r="M47" i="44" s="1"/>
  <c r="L43" i="44"/>
  <c r="K43" i="44"/>
  <c r="J43" i="44"/>
  <c r="I43" i="44"/>
  <c r="H43" i="44"/>
  <c r="N43" i="44" s="1"/>
  <c r="G43" i="44"/>
  <c r="M43" i="44" s="1"/>
  <c r="L40" i="44"/>
  <c r="K40" i="44"/>
  <c r="J40" i="44"/>
  <c r="I40" i="44"/>
  <c r="H40" i="44"/>
  <c r="G40" i="44"/>
  <c r="L41" i="44"/>
  <c r="K41" i="44"/>
  <c r="J41" i="44"/>
  <c r="I41" i="44"/>
  <c r="H41" i="44"/>
  <c r="N41" i="44" s="1"/>
  <c r="G41" i="44"/>
  <c r="M41" i="44" s="1"/>
  <c r="L39" i="44"/>
  <c r="K39" i="44"/>
  <c r="J39" i="44"/>
  <c r="I39" i="44"/>
  <c r="H39" i="44"/>
  <c r="G39" i="44"/>
  <c r="L33" i="44"/>
  <c r="K33" i="44"/>
  <c r="J33" i="44"/>
  <c r="I33" i="44"/>
  <c r="H33" i="44"/>
  <c r="N33" i="44" s="1"/>
  <c r="G33" i="44"/>
  <c r="M33" i="44" s="1"/>
  <c r="L27" i="44"/>
  <c r="K27" i="44"/>
  <c r="J27" i="44"/>
  <c r="I27" i="44"/>
  <c r="H27" i="44"/>
  <c r="G27" i="44"/>
  <c r="L24" i="44"/>
  <c r="K24" i="44"/>
  <c r="J24" i="44"/>
  <c r="I24" i="44"/>
  <c r="H24" i="44"/>
  <c r="N24" i="44" s="1"/>
  <c r="G24" i="44"/>
  <c r="M24" i="44" s="1"/>
  <c r="L25" i="44"/>
  <c r="K25" i="44"/>
  <c r="J25" i="44"/>
  <c r="I25" i="44"/>
  <c r="H25" i="44"/>
  <c r="G25" i="44"/>
  <c r="L23" i="44"/>
  <c r="K23" i="44"/>
  <c r="J23" i="44"/>
  <c r="I23" i="44"/>
  <c r="H23" i="44"/>
  <c r="N23" i="44" s="1"/>
  <c r="G23" i="44"/>
  <c r="M23" i="44" s="1"/>
  <c r="L17" i="44"/>
  <c r="K17" i="44"/>
  <c r="J17" i="44"/>
  <c r="I17" i="44"/>
  <c r="H17" i="44"/>
  <c r="G17" i="44"/>
  <c r="L16" i="44"/>
  <c r="K16" i="44"/>
  <c r="J16" i="44"/>
  <c r="I16" i="44"/>
  <c r="H16" i="44"/>
  <c r="N16" i="44" s="1"/>
  <c r="G16" i="44"/>
  <c r="M16" i="44" s="1"/>
  <c r="L15" i="44"/>
  <c r="K15" i="44"/>
  <c r="J15" i="44"/>
  <c r="I15" i="44"/>
  <c r="H15" i="44"/>
  <c r="G15" i="44"/>
  <c r="L14" i="44"/>
  <c r="K14" i="44"/>
  <c r="J14" i="44"/>
  <c r="I14" i="44"/>
  <c r="H14" i="44"/>
  <c r="N14" i="44" s="1"/>
  <c r="G14" i="44"/>
  <c r="M14" i="44" s="1"/>
  <c r="L9" i="44"/>
  <c r="K9" i="44"/>
  <c r="J9" i="44"/>
  <c r="I9" i="44"/>
  <c r="H9" i="44"/>
  <c r="G9" i="44"/>
  <c r="L8" i="44"/>
  <c r="K8" i="44"/>
  <c r="J8" i="44"/>
  <c r="I8" i="44"/>
  <c r="H8" i="44"/>
  <c r="N8" i="44" s="1"/>
  <c r="G8" i="44"/>
  <c r="M8" i="44" s="1"/>
  <c r="L7" i="44"/>
  <c r="K7" i="44"/>
  <c r="J7" i="44"/>
  <c r="I7" i="44"/>
  <c r="H7" i="44"/>
  <c r="G7" i="44"/>
  <c r="N8" i="46" l="1"/>
  <c r="N11" i="46"/>
  <c r="N15" i="46"/>
  <c r="N17" i="46"/>
  <c r="N25" i="46"/>
  <c r="N28" i="46"/>
  <c r="N33" i="46"/>
  <c r="N36" i="46"/>
  <c r="M7" i="46"/>
  <c r="M9" i="46"/>
  <c r="M14" i="46"/>
  <c r="M16" i="46"/>
  <c r="M18" i="46"/>
  <c r="M26" i="46"/>
  <c r="M32" i="46"/>
  <c r="M34" i="46"/>
  <c r="M7" i="44"/>
  <c r="M9" i="44"/>
  <c r="M15" i="44"/>
  <c r="M17" i="44"/>
  <c r="M25" i="44"/>
  <c r="M27" i="44"/>
  <c r="M39" i="44"/>
  <c r="M40" i="44"/>
  <c r="M48" i="44"/>
  <c r="N7" i="44"/>
  <c r="N9" i="44"/>
  <c r="N15" i="44"/>
  <c r="N17" i="44"/>
  <c r="N25" i="44"/>
  <c r="N27" i="44"/>
  <c r="N39" i="44"/>
  <c r="N40" i="44"/>
  <c r="N48" i="44"/>
  <c r="L64" i="43"/>
  <c r="K64" i="43"/>
  <c r="J64" i="43"/>
  <c r="I64" i="43"/>
  <c r="H64" i="43"/>
  <c r="G64" i="43"/>
  <c r="L55" i="43"/>
  <c r="K55" i="43"/>
  <c r="J55" i="43"/>
  <c r="I55" i="43"/>
  <c r="H55" i="43"/>
  <c r="G55" i="43"/>
  <c r="L57" i="43"/>
  <c r="K57" i="43"/>
  <c r="J57" i="43"/>
  <c r="I57" i="43"/>
  <c r="H57" i="43"/>
  <c r="G57" i="43"/>
  <c r="L54" i="43"/>
  <c r="K54" i="43"/>
  <c r="J54" i="43"/>
  <c r="I54" i="43"/>
  <c r="H54" i="43"/>
  <c r="G54" i="43"/>
  <c r="L53" i="43"/>
  <c r="K53" i="43"/>
  <c r="J53" i="43"/>
  <c r="I53" i="43"/>
  <c r="H53" i="43"/>
  <c r="G53" i="43"/>
  <c r="E50" i="43"/>
  <c r="L46" i="43"/>
  <c r="K46" i="43"/>
  <c r="J46" i="43"/>
  <c r="I46" i="43"/>
  <c r="H46" i="43"/>
  <c r="G46" i="43"/>
  <c r="L47" i="43"/>
  <c r="K47" i="43"/>
  <c r="J47" i="43"/>
  <c r="I47" i="43"/>
  <c r="H47" i="43"/>
  <c r="G47" i="43"/>
  <c r="M47" i="43" s="1"/>
  <c r="L45" i="43"/>
  <c r="K45" i="43"/>
  <c r="J45" i="43"/>
  <c r="I45" i="43"/>
  <c r="H45" i="43"/>
  <c r="G45" i="43"/>
  <c r="L44" i="43"/>
  <c r="K44" i="43"/>
  <c r="J44" i="43"/>
  <c r="I44" i="43"/>
  <c r="H44" i="43"/>
  <c r="G44" i="43"/>
  <c r="M44" i="43" s="1"/>
  <c r="L43" i="43"/>
  <c r="K43" i="43"/>
  <c r="J43" i="43"/>
  <c r="I43" i="43"/>
  <c r="H43" i="43"/>
  <c r="G43" i="43"/>
  <c r="L42" i="43"/>
  <c r="K42" i="43"/>
  <c r="J42" i="43"/>
  <c r="I42" i="43"/>
  <c r="H42" i="43"/>
  <c r="G42" i="43"/>
  <c r="M42" i="43" s="1"/>
  <c r="L39" i="43"/>
  <c r="K39" i="43"/>
  <c r="J39" i="43"/>
  <c r="I39" i="43"/>
  <c r="H39" i="43"/>
  <c r="G39" i="43"/>
  <c r="L38" i="43"/>
  <c r="K38" i="43"/>
  <c r="J38" i="43"/>
  <c r="I38" i="43"/>
  <c r="H38" i="43"/>
  <c r="G38" i="43"/>
  <c r="M38" i="43" s="1"/>
  <c r="L37" i="43"/>
  <c r="K37" i="43"/>
  <c r="J37" i="43"/>
  <c r="I37" i="43"/>
  <c r="H37" i="43"/>
  <c r="G37" i="43"/>
  <c r="L36" i="43"/>
  <c r="K36" i="43"/>
  <c r="J36" i="43"/>
  <c r="I36" i="43"/>
  <c r="H36" i="43"/>
  <c r="G36" i="43"/>
  <c r="M36" i="43" s="1"/>
  <c r="L35" i="43"/>
  <c r="K35" i="43"/>
  <c r="J35" i="43"/>
  <c r="I35" i="43"/>
  <c r="H35" i="43"/>
  <c r="G35" i="43"/>
  <c r="L29" i="43"/>
  <c r="K29" i="43"/>
  <c r="J29" i="43"/>
  <c r="I29" i="43"/>
  <c r="H29" i="43"/>
  <c r="G29" i="43"/>
  <c r="M29" i="43" s="1"/>
  <c r="L27" i="43"/>
  <c r="K27" i="43"/>
  <c r="J27" i="43"/>
  <c r="I27" i="43"/>
  <c r="H27" i="43"/>
  <c r="G27" i="43"/>
  <c r="M27" i="43" s="1"/>
  <c r="L26" i="43"/>
  <c r="K26" i="43"/>
  <c r="J26" i="43"/>
  <c r="I26" i="43"/>
  <c r="H26" i="43"/>
  <c r="G26" i="43"/>
  <c r="F23" i="43"/>
  <c r="E23" i="43"/>
  <c r="L22" i="43"/>
  <c r="K22" i="43"/>
  <c r="J22" i="43"/>
  <c r="I22" i="43"/>
  <c r="H22" i="43"/>
  <c r="G22" i="43"/>
  <c r="M22" i="43" s="1"/>
  <c r="L21" i="43"/>
  <c r="K21" i="43"/>
  <c r="J21" i="43"/>
  <c r="I21" i="43"/>
  <c r="H21" i="43"/>
  <c r="G21" i="43"/>
  <c r="L19" i="43"/>
  <c r="K19" i="43"/>
  <c r="J19" i="43"/>
  <c r="I19" i="43"/>
  <c r="H19" i="43"/>
  <c r="G19" i="43"/>
  <c r="M19" i="43" s="1"/>
  <c r="L18" i="43"/>
  <c r="K18" i="43"/>
  <c r="J18" i="43"/>
  <c r="I18" i="43"/>
  <c r="H18" i="43"/>
  <c r="G18" i="43"/>
  <c r="N54" i="43" l="1"/>
  <c r="N19" i="43"/>
  <c r="N27" i="43"/>
  <c r="N29" i="43"/>
  <c r="N36" i="43"/>
  <c r="N38" i="43"/>
  <c r="N42" i="43"/>
  <c r="N44" i="43"/>
  <c r="N47" i="43"/>
  <c r="M53" i="43"/>
  <c r="M57" i="43"/>
  <c r="M64" i="43"/>
  <c r="N22" i="43"/>
  <c r="N64" i="43"/>
  <c r="N55" i="43"/>
  <c r="N18" i="43"/>
  <c r="N21" i="43"/>
  <c r="N26" i="43"/>
  <c r="N35" i="43"/>
  <c r="N37" i="43"/>
  <c r="N39" i="43"/>
  <c r="N43" i="43"/>
  <c r="N45" i="43"/>
  <c r="N46" i="43"/>
  <c r="M54" i="43"/>
  <c r="M55" i="43"/>
  <c r="M18" i="43"/>
  <c r="M21" i="43"/>
  <c r="M26" i="43"/>
  <c r="M35" i="43"/>
  <c r="M37" i="43"/>
  <c r="M39" i="43"/>
  <c r="M43" i="43"/>
  <c r="M45" i="43"/>
  <c r="M46" i="43"/>
  <c r="N53" i="43"/>
  <c r="N57" i="43"/>
  <c r="L42" i="46"/>
  <c r="K42" i="46"/>
  <c r="J42" i="46"/>
  <c r="I42" i="46"/>
  <c r="H42" i="46"/>
  <c r="N42" i="46" s="1"/>
  <c r="G42" i="46"/>
  <c r="M42" i="46" s="1"/>
  <c r="L24" i="46"/>
  <c r="K24" i="46"/>
  <c r="J24" i="46"/>
  <c r="I24" i="46"/>
  <c r="H24" i="46"/>
  <c r="N24" i="46" s="1"/>
  <c r="G24" i="46"/>
  <c r="M24" i="46" l="1"/>
  <c r="F39" i="45"/>
  <c r="E39" i="45"/>
  <c r="L35" i="45"/>
  <c r="K35" i="45"/>
  <c r="J35" i="45"/>
  <c r="I35" i="45"/>
  <c r="H35" i="45"/>
  <c r="N35" i="45" s="1"/>
  <c r="G35" i="45"/>
  <c r="M35" i="45" s="1"/>
  <c r="L11" i="44" l="1"/>
  <c r="K11" i="44"/>
  <c r="J11" i="44"/>
  <c r="I11" i="44"/>
  <c r="H11" i="44"/>
  <c r="G11" i="44"/>
  <c r="N11" i="44" l="1"/>
  <c r="M11" i="44"/>
  <c r="L20" i="46"/>
  <c r="K20" i="46"/>
  <c r="J20" i="46"/>
  <c r="I20" i="46"/>
  <c r="H20" i="46"/>
  <c r="N20" i="46" s="1"/>
  <c r="G20" i="46"/>
  <c r="M20" i="46" s="1"/>
  <c r="L19" i="46"/>
  <c r="K19" i="46"/>
  <c r="J19" i="46"/>
  <c r="I19" i="46"/>
  <c r="H19" i="46"/>
  <c r="G19" i="46"/>
  <c r="L38" i="46"/>
  <c r="K38" i="46"/>
  <c r="J38" i="46"/>
  <c r="I38" i="46"/>
  <c r="H38" i="46"/>
  <c r="N38" i="46" s="1"/>
  <c r="G38" i="46"/>
  <c r="M38" i="46" s="1"/>
  <c r="L37" i="46"/>
  <c r="K37" i="46"/>
  <c r="J37" i="46"/>
  <c r="I37" i="46"/>
  <c r="H37" i="46"/>
  <c r="G37" i="46"/>
  <c r="L55" i="46"/>
  <c r="K55" i="46"/>
  <c r="J55" i="46"/>
  <c r="I55" i="46"/>
  <c r="H55" i="46"/>
  <c r="N55" i="46" s="1"/>
  <c r="G55" i="46"/>
  <c r="M55" i="46" s="1"/>
  <c r="L54" i="46"/>
  <c r="K54" i="46"/>
  <c r="J54" i="46"/>
  <c r="I54" i="46"/>
  <c r="H54" i="46"/>
  <c r="G54" i="46"/>
  <c r="L56" i="45"/>
  <c r="K56" i="45"/>
  <c r="J56" i="45"/>
  <c r="I56" i="45"/>
  <c r="H56" i="45"/>
  <c r="N56" i="45" s="1"/>
  <c r="G56" i="45"/>
  <c r="M56" i="45" s="1"/>
  <c r="L55" i="45"/>
  <c r="K55" i="45"/>
  <c r="J55" i="45"/>
  <c r="I55" i="45"/>
  <c r="H55" i="45"/>
  <c r="N55" i="45" s="1"/>
  <c r="G55" i="45"/>
  <c r="M55" i="45" s="1"/>
  <c r="L38" i="45"/>
  <c r="K38" i="45"/>
  <c r="J38" i="45"/>
  <c r="I38" i="45"/>
  <c r="H38" i="45"/>
  <c r="N38" i="45" s="1"/>
  <c r="G38" i="45"/>
  <c r="L37" i="45"/>
  <c r="K37" i="45"/>
  <c r="K39" i="45" s="1"/>
  <c r="J37" i="45"/>
  <c r="I37" i="45"/>
  <c r="H37" i="45"/>
  <c r="N37" i="45" s="1"/>
  <c r="G37" i="45"/>
  <c r="M54" i="46" l="1"/>
  <c r="M37" i="46"/>
  <c r="M19" i="46"/>
  <c r="N54" i="46"/>
  <c r="N37" i="46"/>
  <c r="N19" i="46"/>
  <c r="M37" i="45"/>
  <c r="M39" i="46"/>
  <c r="M38" i="45"/>
  <c r="L20" i="45"/>
  <c r="K20" i="45"/>
  <c r="J20" i="45"/>
  <c r="I20" i="45"/>
  <c r="H20" i="45"/>
  <c r="G20" i="45"/>
  <c r="M20" i="45" s="1"/>
  <c r="L19" i="45"/>
  <c r="K19" i="45"/>
  <c r="J19" i="45"/>
  <c r="I19" i="45"/>
  <c r="H19" i="45"/>
  <c r="N19" i="45" s="1"/>
  <c r="G19" i="45"/>
  <c r="M19" i="45" s="1"/>
  <c r="L51" i="44"/>
  <c r="K51" i="44"/>
  <c r="J51" i="44"/>
  <c r="I51" i="44"/>
  <c r="H51" i="44"/>
  <c r="N51" i="44" s="1"/>
  <c r="G51" i="44"/>
  <c r="M51" i="44" s="1"/>
  <c r="L50" i="44"/>
  <c r="K50" i="44"/>
  <c r="J50" i="44"/>
  <c r="I50" i="44"/>
  <c r="H50" i="44"/>
  <c r="G50" i="44"/>
  <c r="L35" i="44"/>
  <c r="K35" i="44"/>
  <c r="J35" i="44"/>
  <c r="I35" i="44"/>
  <c r="H35" i="44"/>
  <c r="N35" i="44" s="1"/>
  <c r="G35" i="44"/>
  <c r="M35" i="44" s="1"/>
  <c r="L34" i="44"/>
  <c r="K34" i="44"/>
  <c r="J34" i="44"/>
  <c r="I34" i="44"/>
  <c r="H34" i="44"/>
  <c r="G34" i="44"/>
  <c r="L19" i="44"/>
  <c r="K19" i="44"/>
  <c r="J19" i="44"/>
  <c r="I19" i="44"/>
  <c r="H19" i="44"/>
  <c r="N19" i="44" s="1"/>
  <c r="G19" i="44"/>
  <c r="M19" i="44" s="1"/>
  <c r="L18" i="44"/>
  <c r="K18" i="44"/>
  <c r="J18" i="44"/>
  <c r="I18" i="44"/>
  <c r="H18" i="44"/>
  <c r="G18" i="44"/>
  <c r="L66" i="43"/>
  <c r="K66" i="43"/>
  <c r="J66" i="43"/>
  <c r="I66" i="43"/>
  <c r="H66" i="43"/>
  <c r="N66" i="43" s="1"/>
  <c r="G66" i="43"/>
  <c r="M66" i="43" s="1"/>
  <c r="L65" i="43"/>
  <c r="K65" i="43"/>
  <c r="J65" i="43"/>
  <c r="I65" i="43"/>
  <c r="H65" i="43"/>
  <c r="G65" i="43"/>
  <c r="L49" i="43"/>
  <c r="K49" i="43"/>
  <c r="J49" i="43"/>
  <c r="I49" i="43"/>
  <c r="H49" i="43"/>
  <c r="N49" i="43" s="1"/>
  <c r="G49" i="43"/>
  <c r="M49" i="43" s="1"/>
  <c r="L48" i="43"/>
  <c r="K48" i="43"/>
  <c r="J48" i="43"/>
  <c r="I48" i="43"/>
  <c r="H48" i="43"/>
  <c r="G48" i="43"/>
  <c r="G50" i="43" s="1"/>
  <c r="L31" i="43"/>
  <c r="K31" i="43"/>
  <c r="J31" i="43"/>
  <c r="I31" i="43"/>
  <c r="H31" i="43"/>
  <c r="N31" i="43" s="1"/>
  <c r="G31" i="43"/>
  <c r="L45" i="46"/>
  <c r="K45" i="46"/>
  <c r="J45" i="46"/>
  <c r="I45" i="46"/>
  <c r="H45" i="46"/>
  <c r="N45" i="46" s="1"/>
  <c r="G45" i="46"/>
  <c r="L27" i="46"/>
  <c r="K27" i="46"/>
  <c r="J27" i="46"/>
  <c r="I27" i="46"/>
  <c r="H27" i="46"/>
  <c r="G27" i="46"/>
  <c r="L10" i="46"/>
  <c r="K10" i="46"/>
  <c r="J10" i="46"/>
  <c r="I10" i="46"/>
  <c r="H10" i="46"/>
  <c r="N10" i="46" s="1"/>
  <c r="G10" i="46"/>
  <c r="L45" i="45"/>
  <c r="K45" i="45"/>
  <c r="J45" i="45"/>
  <c r="I45" i="45"/>
  <c r="H45" i="45"/>
  <c r="N45" i="45" s="1"/>
  <c r="G45" i="45"/>
  <c r="M45" i="45" s="1"/>
  <c r="L27" i="45"/>
  <c r="K27" i="45"/>
  <c r="J27" i="45"/>
  <c r="I27" i="45"/>
  <c r="H27" i="45"/>
  <c r="N27" i="45" s="1"/>
  <c r="G27" i="45"/>
  <c r="L10" i="45"/>
  <c r="K10" i="45"/>
  <c r="J10" i="45"/>
  <c r="I10" i="45"/>
  <c r="H10" i="45"/>
  <c r="N10" i="45" s="1"/>
  <c r="G10" i="45"/>
  <c r="M10" i="45" s="1"/>
  <c r="L42" i="44"/>
  <c r="K42" i="44"/>
  <c r="J42" i="44"/>
  <c r="I42" i="44"/>
  <c r="H42" i="44"/>
  <c r="N42" i="44" s="1"/>
  <c r="G42" i="44"/>
  <c r="L26" i="44"/>
  <c r="K26" i="44"/>
  <c r="J26" i="44"/>
  <c r="I26" i="44"/>
  <c r="H26" i="44"/>
  <c r="N26" i="44" s="1"/>
  <c r="G26" i="44"/>
  <c r="M26" i="44" s="1"/>
  <c r="L10" i="44"/>
  <c r="K10" i="44"/>
  <c r="J10" i="44"/>
  <c r="I10" i="44"/>
  <c r="H10" i="44"/>
  <c r="G10" i="44"/>
  <c r="L56" i="43"/>
  <c r="K56" i="43"/>
  <c r="J56" i="43"/>
  <c r="I56" i="43"/>
  <c r="H56" i="43"/>
  <c r="G56" i="43"/>
  <c r="M56" i="43" s="1"/>
  <c r="L20" i="43"/>
  <c r="L23" i="43" s="1"/>
  <c r="K20" i="43"/>
  <c r="K23" i="43" s="1"/>
  <c r="J20" i="43"/>
  <c r="J23" i="43" s="1"/>
  <c r="I20" i="43"/>
  <c r="I23" i="43" s="1"/>
  <c r="H20" i="43"/>
  <c r="G20" i="43"/>
  <c r="L30" i="43"/>
  <c r="K30" i="43"/>
  <c r="J30" i="43"/>
  <c r="I30" i="43"/>
  <c r="I32" i="43" s="1"/>
  <c r="H30" i="43"/>
  <c r="N30" i="43" s="1"/>
  <c r="G30" i="43"/>
  <c r="M30" i="43" s="1"/>
  <c r="N27" i="46" l="1"/>
  <c r="M10" i="46"/>
  <c r="M45" i="46"/>
  <c r="M27" i="46"/>
  <c r="M27" i="45"/>
  <c r="G36" i="44"/>
  <c r="N56" i="43"/>
  <c r="M31" i="43"/>
  <c r="G67" i="43"/>
  <c r="N10" i="44"/>
  <c r="M10" i="44"/>
  <c r="M42" i="44"/>
  <c r="M18" i="44"/>
  <c r="M34" i="44"/>
  <c r="M36" i="44" s="1"/>
  <c r="M50" i="44"/>
  <c r="N18" i="44"/>
  <c r="N34" i="44"/>
  <c r="N50" i="44"/>
  <c r="M48" i="43"/>
  <c r="M65" i="43"/>
  <c r="M67" i="43" s="1"/>
  <c r="N48" i="43"/>
  <c r="N65" i="43"/>
  <c r="N20" i="45"/>
  <c r="M20" i="43"/>
  <c r="G23" i="43"/>
  <c r="M23" i="43" s="1"/>
  <c r="N20" i="43"/>
  <c r="H23" i="43"/>
  <c r="N23" i="43" s="1"/>
  <c r="L39" i="45"/>
  <c r="J39" i="45"/>
  <c r="I39" i="45"/>
  <c r="L24" i="45"/>
  <c r="K24" i="45"/>
  <c r="K29" i="45" s="1"/>
  <c r="K40" i="45" s="1"/>
  <c r="J24" i="45"/>
  <c r="I24" i="45"/>
  <c r="H24" i="45"/>
  <c r="N24" i="45" s="1"/>
  <c r="G24" i="45"/>
  <c r="M24" i="45" s="1"/>
  <c r="N39" i="45" l="1"/>
  <c r="H39" i="45"/>
  <c r="M39" i="45"/>
  <c r="G39" i="45"/>
  <c r="E56" i="46" l="1"/>
  <c r="K56" i="46"/>
  <c r="K47" i="46"/>
  <c r="I47" i="46"/>
  <c r="F56" i="46"/>
  <c r="J56" i="46"/>
  <c r="L56" i="46"/>
  <c r="I56" i="46"/>
  <c r="F47" i="46"/>
  <c r="E47" i="46"/>
  <c r="L47" i="46"/>
  <c r="L57" i="46" s="1"/>
  <c r="J47" i="46"/>
  <c r="H47" i="46"/>
  <c r="F52" i="44"/>
  <c r="E52" i="44"/>
  <c r="L52" i="44"/>
  <c r="K52" i="44"/>
  <c r="J52" i="44"/>
  <c r="I52" i="44"/>
  <c r="H52" i="44"/>
  <c r="G52" i="44"/>
  <c r="F44" i="44"/>
  <c r="E44" i="44"/>
  <c r="L44" i="44"/>
  <c r="K44" i="44"/>
  <c r="K53" i="44" s="1"/>
  <c r="J44" i="44"/>
  <c r="I44" i="44"/>
  <c r="H44" i="44"/>
  <c r="G44" i="44"/>
  <c r="G53" i="44" s="1"/>
  <c r="E36" i="44"/>
  <c r="L53" i="44" l="1"/>
  <c r="J53" i="44"/>
  <c r="I53" i="44"/>
  <c r="K57" i="46"/>
  <c r="I57" i="46"/>
  <c r="J57" i="46"/>
  <c r="G47" i="46"/>
  <c r="H56" i="46"/>
  <c r="H57" i="46" s="1"/>
  <c r="G56" i="46"/>
  <c r="N47" i="46"/>
  <c r="M56" i="46"/>
  <c r="N56" i="46"/>
  <c r="H53" i="44"/>
  <c r="N44" i="44"/>
  <c r="M44" i="44"/>
  <c r="M52" i="44"/>
  <c r="N52" i="44"/>
  <c r="N57" i="46" l="1"/>
  <c r="G57" i="46"/>
  <c r="M47" i="46"/>
  <c r="M57" i="46" s="1"/>
  <c r="M53" i="44"/>
  <c r="N53" i="44"/>
  <c r="E32" i="43" l="1"/>
  <c r="F32" i="43"/>
  <c r="G32" i="43"/>
  <c r="G33" i="43" s="1"/>
  <c r="H32" i="43"/>
  <c r="H33" i="43" s="1"/>
  <c r="J32" i="43"/>
  <c r="J33" i="43" s="1"/>
  <c r="K32" i="43"/>
  <c r="K33" i="43" s="1"/>
  <c r="L32" i="43"/>
  <c r="L33" i="43" s="1"/>
  <c r="M32" i="43"/>
  <c r="N32" i="43"/>
  <c r="N33" i="43" s="1"/>
  <c r="I33" i="43"/>
  <c r="M33" i="43"/>
  <c r="F29" i="46" l="1"/>
  <c r="E29" i="46"/>
  <c r="L29" i="46"/>
  <c r="K29" i="46"/>
  <c r="J29" i="46"/>
  <c r="I29" i="46"/>
  <c r="H29" i="46"/>
  <c r="N29" i="46" s="1"/>
  <c r="G29" i="46"/>
  <c r="F12" i="46"/>
  <c r="E12" i="46"/>
  <c r="L12" i="46"/>
  <c r="K12" i="46"/>
  <c r="J12" i="46"/>
  <c r="I12" i="46"/>
  <c r="H12" i="46"/>
  <c r="N12" i="46" s="1"/>
  <c r="G12" i="46"/>
  <c r="F39" i="46"/>
  <c r="E39" i="46"/>
  <c r="L39" i="46"/>
  <c r="K39" i="46"/>
  <c r="J39" i="46"/>
  <c r="I39" i="46"/>
  <c r="H39" i="46"/>
  <c r="G39" i="46"/>
  <c r="F21" i="46"/>
  <c r="E21" i="46"/>
  <c r="L21" i="46"/>
  <c r="K21" i="46"/>
  <c r="J21" i="46"/>
  <c r="I21" i="46"/>
  <c r="H21" i="46"/>
  <c r="G21" i="46"/>
  <c r="F47" i="45"/>
  <c r="E47" i="45"/>
  <c r="L47" i="45"/>
  <c r="K47" i="45"/>
  <c r="J47" i="45"/>
  <c r="I47" i="45"/>
  <c r="H47" i="45"/>
  <c r="N47" i="45" s="1"/>
  <c r="G47" i="45"/>
  <c r="M12" i="46" l="1"/>
  <c r="M47" i="45"/>
  <c r="M29" i="46"/>
  <c r="I40" i="46"/>
  <c r="K40" i="46"/>
  <c r="J40" i="46"/>
  <c r="L40" i="46"/>
  <c r="I22" i="46"/>
  <c r="K22" i="46"/>
  <c r="J22" i="46"/>
  <c r="L22" i="46"/>
  <c r="G22" i="46"/>
  <c r="H22" i="46"/>
  <c r="G40" i="46"/>
  <c r="M21" i="46"/>
  <c r="H40" i="46"/>
  <c r="N21" i="46"/>
  <c r="N39" i="46"/>
  <c r="N40" i="46" l="1"/>
  <c r="M40" i="46"/>
  <c r="N22" i="46"/>
  <c r="M22" i="46"/>
  <c r="F29" i="45" l="1"/>
  <c r="E29" i="45"/>
  <c r="L29" i="45"/>
  <c r="J29" i="45"/>
  <c r="I29" i="45"/>
  <c r="H29" i="45"/>
  <c r="N29" i="45" s="1"/>
  <c r="G29" i="45"/>
  <c r="G40" i="45" s="1"/>
  <c r="M29" i="45" l="1"/>
  <c r="F12" i="45"/>
  <c r="E12" i="45"/>
  <c r="L12" i="45"/>
  <c r="K12" i="45"/>
  <c r="J12" i="45"/>
  <c r="I12" i="45"/>
  <c r="H12" i="45"/>
  <c r="N12" i="45" s="1"/>
  <c r="G12" i="45"/>
  <c r="M12" i="45" s="1"/>
  <c r="F57" i="45"/>
  <c r="E57" i="45"/>
  <c r="L57" i="45"/>
  <c r="L58" i="45" s="1"/>
  <c r="K57" i="45"/>
  <c r="J57" i="45"/>
  <c r="J58" i="45" s="1"/>
  <c r="I57" i="45"/>
  <c r="I58" i="45" s="1"/>
  <c r="H57" i="45"/>
  <c r="G57" i="45"/>
  <c r="K58" i="45"/>
  <c r="F21" i="45"/>
  <c r="E21" i="45"/>
  <c r="J21" i="45"/>
  <c r="M40" i="45" l="1"/>
  <c r="L40" i="45"/>
  <c r="J22" i="45"/>
  <c r="G21" i="45"/>
  <c r="G22" i="45" s="1"/>
  <c r="I21" i="45"/>
  <c r="K21" i="45"/>
  <c r="L21" i="45"/>
  <c r="J40" i="45"/>
  <c r="I40" i="45"/>
  <c r="N21" i="45"/>
  <c r="H21" i="45"/>
  <c r="G58" i="45"/>
  <c r="H58" i="45"/>
  <c r="M57" i="45"/>
  <c r="M58" i="45" s="1"/>
  <c r="M21" i="45"/>
  <c r="M22" i="45" s="1"/>
  <c r="N40" i="45"/>
  <c r="N57" i="45"/>
  <c r="F28" i="44"/>
  <c r="E28" i="44"/>
  <c r="L28" i="44"/>
  <c r="K28" i="44"/>
  <c r="J28" i="44"/>
  <c r="I28" i="44"/>
  <c r="H28" i="44"/>
  <c r="G28" i="44"/>
  <c r="G37" i="44" s="1"/>
  <c r="F12" i="44"/>
  <c r="E12" i="44"/>
  <c r="L12" i="44"/>
  <c r="K12" i="44"/>
  <c r="J12" i="44"/>
  <c r="I12" i="44"/>
  <c r="H12" i="44"/>
  <c r="G12" i="44"/>
  <c r="F36" i="44"/>
  <c r="L36" i="44"/>
  <c r="F20" i="44"/>
  <c r="E20" i="44"/>
  <c r="N12" i="44" l="1"/>
  <c r="N28" i="44"/>
  <c r="M28" i="44"/>
  <c r="M37" i="44" s="1"/>
  <c r="J20" i="44"/>
  <c r="J21" i="44" s="1"/>
  <c r="M12" i="44"/>
  <c r="H36" i="44"/>
  <c r="N58" i="45"/>
  <c r="K22" i="45"/>
  <c r="L22" i="45"/>
  <c r="I22" i="45"/>
  <c r="H40" i="45"/>
  <c r="N22" i="45"/>
  <c r="H22" i="45"/>
  <c r="J36" i="44"/>
  <c r="J37" i="44" s="1"/>
  <c r="L37" i="44"/>
  <c r="K36" i="44"/>
  <c r="K37" i="44" s="1"/>
  <c r="G20" i="44"/>
  <c r="G21" i="44" s="1"/>
  <c r="I20" i="44"/>
  <c r="K20" i="44"/>
  <c r="L20" i="44"/>
  <c r="I36" i="44"/>
  <c r="I37" i="44" s="1"/>
  <c r="N20" i="44"/>
  <c r="H20" i="44"/>
  <c r="M20" i="44"/>
  <c r="N36" i="44"/>
  <c r="M21" i="44" l="1"/>
  <c r="L21" i="44"/>
  <c r="I21" i="44"/>
  <c r="K21" i="44"/>
  <c r="H37" i="44"/>
  <c r="N37" i="44"/>
  <c r="N21" i="44"/>
  <c r="H21" i="44"/>
  <c r="F67" i="43" l="1"/>
  <c r="E67" i="43"/>
  <c r="L67" i="43"/>
  <c r="K67" i="43"/>
  <c r="J67" i="43"/>
  <c r="I67" i="43"/>
  <c r="H67" i="43"/>
  <c r="E58" i="43"/>
  <c r="L58" i="43"/>
  <c r="K58" i="43"/>
  <c r="K68" i="43" s="1"/>
  <c r="J58" i="43"/>
  <c r="J68" i="43" s="1"/>
  <c r="I58" i="43"/>
  <c r="I68" i="43" s="1"/>
  <c r="H58" i="43"/>
  <c r="G58" i="43"/>
  <c r="G68" i="43" s="1"/>
  <c r="F50" i="43"/>
  <c r="L50" i="43"/>
  <c r="K50" i="43"/>
  <c r="J50" i="43"/>
  <c r="I50" i="43"/>
  <c r="H50" i="43"/>
  <c r="F40" i="43"/>
  <c r="E40" i="43"/>
  <c r="L40" i="43"/>
  <c r="L51" i="43" s="1"/>
  <c r="K40" i="43"/>
  <c r="J40" i="43"/>
  <c r="I40" i="43"/>
  <c r="H40" i="43"/>
  <c r="G40" i="43"/>
  <c r="J51" i="43" l="1"/>
  <c r="I51" i="43"/>
  <c r="K51" i="43"/>
  <c r="L68" i="43"/>
  <c r="H68" i="43"/>
  <c r="N58" i="43"/>
  <c r="M58" i="43"/>
  <c r="N67" i="43"/>
  <c r="G51" i="43"/>
  <c r="M40" i="43"/>
  <c r="H51" i="43"/>
  <c r="N40" i="43"/>
  <c r="M50" i="43"/>
  <c r="N50" i="43"/>
  <c r="M51" i="43" l="1"/>
  <c r="M68" i="43"/>
  <c r="N68" i="43"/>
  <c r="N51" i="43"/>
</calcChain>
</file>

<file path=xl/sharedStrings.xml><?xml version="1.0" encoding="utf-8"?>
<sst xmlns="http://schemas.openxmlformats.org/spreadsheetml/2006/main" count="611" uniqueCount="262">
  <si>
    <t>№ рец.</t>
  </si>
  <si>
    <t>Наименование блюда</t>
  </si>
  <si>
    <t>Жиры,гр.</t>
  </si>
  <si>
    <t>Белки,гр.</t>
  </si>
  <si>
    <t>Углеводы,гр.</t>
  </si>
  <si>
    <t>Энергетическая ценность (ккал)</t>
  </si>
  <si>
    <t>Выход,гр.</t>
  </si>
  <si>
    <t>Пищевые вещества.</t>
  </si>
  <si>
    <t>ЗАВТРАК</t>
  </si>
  <si>
    <t>ОБЕД</t>
  </si>
  <si>
    <t>Макаронные изделия отварные</t>
  </si>
  <si>
    <t>Чай с лимоном</t>
  </si>
  <si>
    <t>ИТОГО ЗА ДЕНЬ:</t>
  </si>
  <si>
    <t>ИТОГО  ЗАВТРАК:</t>
  </si>
  <si>
    <t>ИТОГО  ОБЕД:</t>
  </si>
  <si>
    <t>7-11 лет</t>
  </si>
  <si>
    <t xml:space="preserve"> Чай с сахаром</t>
  </si>
  <si>
    <t>Каша рисовая молочная жидкая</t>
  </si>
  <si>
    <t>Неделя: первая, третья</t>
  </si>
  <si>
    <t>46/2008г</t>
  </si>
  <si>
    <t>92/2008г</t>
  </si>
  <si>
    <t>Картофельное пюре</t>
  </si>
  <si>
    <t>39/2008г</t>
  </si>
  <si>
    <t>Хлеб ржаной</t>
  </si>
  <si>
    <t>Каша пшеничная молочная жидкая</t>
  </si>
  <si>
    <t xml:space="preserve"> </t>
  </si>
  <si>
    <t>Тефтели 2-й вариант</t>
  </si>
  <si>
    <t>чай с лимоном</t>
  </si>
  <si>
    <t>2004г</t>
  </si>
  <si>
    <t xml:space="preserve">Сборник рецептур блюд и кулинарных изделий для предприятий общественного питания      </t>
  </si>
  <si>
    <t>2008г</t>
  </si>
  <si>
    <t xml:space="preserve">Сборник  технических нормативов, рецептур блюд и кулинарных изделий для           </t>
  </si>
  <si>
    <t xml:space="preserve">предприятий общественного питания при образовательных учреждениях УР.  Ижевск 2008 г.   </t>
  </si>
  <si>
    <t>2013г</t>
  </si>
  <si>
    <t xml:space="preserve">организации питания детей в дошкольных организациях УР.  Ижевск 2013 г.   </t>
  </si>
  <si>
    <t>462/2004г</t>
  </si>
  <si>
    <t>97/2008г</t>
  </si>
  <si>
    <t>311/2004г</t>
  </si>
  <si>
    <t>каша гречневая</t>
  </si>
  <si>
    <t>2021г</t>
  </si>
  <si>
    <t>Единый сборник технологических нормативов, рецептур блюд и кулинарных изделий для детских садов,</t>
  </si>
  <si>
    <t>общеобразовательных школах. Уральский региональный центр питания. Пермь 2021 г. (Под общей редакцией А.Я. Превалова)</t>
  </si>
  <si>
    <t xml:space="preserve">при общеобразовательных школах . Москва 2004г (Под общей редакцией В.Т Лапшиной)   </t>
  </si>
  <si>
    <t>каша пшеничная</t>
  </si>
  <si>
    <t>День недели</t>
  </si>
  <si>
    <t xml:space="preserve">УТВЕРЖДАЮ </t>
  </si>
  <si>
    <t>СОГЛАСОВАНО</t>
  </si>
  <si>
    <t>Генеральный директор ООО "Школьное питание"</t>
  </si>
  <si>
    <t>Колеватов Е.С____________</t>
  </si>
  <si>
    <t>12-18 лет</t>
  </si>
  <si>
    <t>459/2021г</t>
  </si>
  <si>
    <t>457/2021г</t>
  </si>
  <si>
    <t>495/2021г</t>
  </si>
  <si>
    <t>Компот из смеси сухофруктов</t>
  </si>
  <si>
    <t>Неделя: вторая, четвертая</t>
  </si>
  <si>
    <t>Список литературы</t>
  </si>
  <si>
    <t>обед</t>
  </si>
  <si>
    <t>завтрак</t>
  </si>
  <si>
    <t>2 нед.</t>
  </si>
  <si>
    <t>1 нед.</t>
  </si>
  <si>
    <t>каша пшенная</t>
  </si>
  <si>
    <t>кофейный напиток</t>
  </si>
  <si>
    <t>236/2021г</t>
  </si>
  <si>
    <t>462/2021г</t>
  </si>
  <si>
    <t>Какао с молоком</t>
  </si>
  <si>
    <t>Каша пшенная жидкая</t>
  </si>
  <si>
    <t>230/2021г</t>
  </si>
  <si>
    <t>Каша манная молочная жидкая</t>
  </si>
  <si>
    <t>Каша пшённая молочная жидкая</t>
  </si>
  <si>
    <t>232/2021г</t>
  </si>
  <si>
    <t>235/2021г</t>
  </si>
  <si>
    <t>141/2008г</t>
  </si>
  <si>
    <t>Соус томатный</t>
  </si>
  <si>
    <t>100/2021г</t>
  </si>
  <si>
    <t>Рассольник ленинградский</t>
  </si>
  <si>
    <t xml:space="preserve">Борщ с капустой и картофелем </t>
  </si>
  <si>
    <t>176/2013г</t>
  </si>
  <si>
    <t>Жаркое по-домашнему</t>
  </si>
  <si>
    <t>41/2008г</t>
  </si>
  <si>
    <t xml:space="preserve">Щи из свежей капусты с картофелем </t>
  </si>
  <si>
    <t>464/2021г</t>
  </si>
  <si>
    <t>Кофейный напиток</t>
  </si>
  <si>
    <t>501/2021г</t>
  </si>
  <si>
    <t>Соки овощные, фруктовые и ягодные</t>
  </si>
  <si>
    <t>160/2004г</t>
  </si>
  <si>
    <t>Суп молочный с макаронными изделиями</t>
  </si>
  <si>
    <t>574/2021г</t>
  </si>
  <si>
    <t>573/2021г</t>
  </si>
  <si>
    <t>Хлеб пшеничный формовой</t>
  </si>
  <si>
    <t xml:space="preserve">Каша "Дружба" </t>
  </si>
  <si>
    <t>какао с молоком</t>
  </si>
  <si>
    <t xml:space="preserve">Суп картофельный с мак. изделиями </t>
  </si>
  <si>
    <t>494/2021г</t>
  </si>
  <si>
    <t>Компот из плодов или ягод сушеных</t>
  </si>
  <si>
    <t>229/2021г</t>
  </si>
  <si>
    <t>ТК-1</t>
  </si>
  <si>
    <t>Помидоры свежие порционно</t>
  </si>
  <si>
    <t>451/2004г</t>
  </si>
  <si>
    <t>Шницель</t>
  </si>
  <si>
    <t xml:space="preserve">картофельное пюре </t>
  </si>
  <si>
    <t>компот из урюка</t>
  </si>
  <si>
    <t>шницель</t>
  </si>
  <si>
    <t>суп гороховый</t>
  </si>
  <si>
    <t>чай с сахаром</t>
  </si>
  <si>
    <t>плов</t>
  </si>
  <si>
    <t>ТК-2</t>
  </si>
  <si>
    <t>Огурцы свежие порционно</t>
  </si>
  <si>
    <t>60/2008г</t>
  </si>
  <si>
    <t>Уха со взбитым яйцом</t>
  </si>
  <si>
    <t>234/2021г</t>
  </si>
  <si>
    <t>Каша овсянная "Геркулес" жидкая</t>
  </si>
  <si>
    <t>БЛЮДО</t>
  </si>
  <si>
    <t>каша</t>
  </si>
  <si>
    <t>каша рисовая молочная</t>
  </si>
  <si>
    <t>суп молочный с макаронными изделиями</t>
  </si>
  <si>
    <t>каша "дружба"</t>
  </si>
  <si>
    <t>каша ячневая молочная</t>
  </si>
  <si>
    <t>сыр порционно</t>
  </si>
  <si>
    <t>масло слив. порционно</t>
  </si>
  <si>
    <t>повидло</t>
  </si>
  <si>
    <t>напиток</t>
  </si>
  <si>
    <t>закуска</t>
  </si>
  <si>
    <t>нарезка огурцы</t>
  </si>
  <si>
    <t>салат из свеклы с сыром и чесноком</t>
  </si>
  <si>
    <t>суп</t>
  </si>
  <si>
    <t xml:space="preserve">рассольник ленинградский </t>
  </si>
  <si>
    <t>крестьянский с крупой</t>
  </si>
  <si>
    <t xml:space="preserve">суп с макаронными изделиями </t>
  </si>
  <si>
    <t>уха со взбитым яйцом</t>
  </si>
  <si>
    <t>борщ с капустой и картофелем</t>
  </si>
  <si>
    <t>суп с клецками</t>
  </si>
  <si>
    <t>гарнир</t>
  </si>
  <si>
    <t>макароны отварные</t>
  </si>
  <si>
    <t>рыба</t>
  </si>
  <si>
    <t>мясо</t>
  </si>
  <si>
    <t>тефтели 2-й вариант</t>
  </si>
  <si>
    <t>капуста тушеная с мясом</t>
  </si>
  <si>
    <t>жаркое по-домашнему</t>
  </si>
  <si>
    <t>котлеты Школьные</t>
  </si>
  <si>
    <t>птица</t>
  </si>
  <si>
    <t>компот из смеси сухофруктов</t>
  </si>
  <si>
    <t>напиток апельсиновый</t>
  </si>
  <si>
    <t>сок фруктовый</t>
  </si>
  <si>
    <t>напиток из шиповника</t>
  </si>
  <si>
    <t>каша манная молочная</t>
  </si>
  <si>
    <t>творожная запеканка</t>
  </si>
  <si>
    <t>каша овсяная "геркулес"</t>
  </si>
  <si>
    <t>салат из огурцов и помидор</t>
  </si>
  <si>
    <t>нарезка помидоры</t>
  </si>
  <si>
    <t>салат из свежей капусты</t>
  </si>
  <si>
    <t>суп с крупой</t>
  </si>
  <si>
    <t>борщ с картофелем</t>
  </si>
  <si>
    <t>щи из свежей капусты с картофелем</t>
  </si>
  <si>
    <t>гороховое пюре</t>
  </si>
  <si>
    <t>рис с овощами</t>
  </si>
  <si>
    <t>картофель тушеной</t>
  </si>
  <si>
    <t>колобки 
мясо-картофельные</t>
  </si>
  <si>
    <t>ленивые голубцы</t>
  </si>
  <si>
    <t>котлета здоровье</t>
  </si>
  <si>
    <t xml:space="preserve">рыба тушеная  с овощами </t>
  </si>
  <si>
    <t>котлета из мяса птицы</t>
  </si>
  <si>
    <t>напиток лимонный</t>
  </si>
  <si>
    <t>доп.питание</t>
  </si>
  <si>
    <t>Основное  двенадцатидневное меню для организации питания детей</t>
  </si>
  <si>
    <t xml:space="preserve">в летнем оздоровительном лагере дневного пребывания </t>
  </si>
  <si>
    <t>75/2021г</t>
  </si>
  <si>
    <t>Сыр полутвердый (порциями)</t>
  </si>
  <si>
    <t>82/2021г</t>
  </si>
  <si>
    <t>Фрукты свежие</t>
  </si>
  <si>
    <t>202/2021г</t>
  </si>
  <si>
    <t>Каша гречневая рассыпчатая</t>
  </si>
  <si>
    <t>96/2004г</t>
  </si>
  <si>
    <t>Масло  (порциями)</t>
  </si>
  <si>
    <t>33/2021г</t>
  </si>
  <si>
    <t>Салат из свеклы с сыром и чесноком</t>
  </si>
  <si>
    <t>48/2008г</t>
  </si>
  <si>
    <t>Суп крестьянский с крупой</t>
  </si>
  <si>
    <t>157/2008г</t>
  </si>
  <si>
    <t>Напиток апельсиновый</t>
  </si>
  <si>
    <t>суфле из творога</t>
  </si>
  <si>
    <t>284/2021г</t>
  </si>
  <si>
    <t>Суфле из творога</t>
  </si>
  <si>
    <t>ПП</t>
  </si>
  <si>
    <t>Повидло яблочное</t>
  </si>
  <si>
    <t>25/2004</t>
  </si>
  <si>
    <t>Салат "Степной" из разных овощей</t>
  </si>
  <si>
    <t>196/2013г</t>
  </si>
  <si>
    <t>Капуста тушеная с мясом</t>
  </si>
  <si>
    <t>15/2013г</t>
  </si>
  <si>
    <t>Салат "Тазалык"</t>
  </si>
  <si>
    <t>496/2021г</t>
  </si>
  <si>
    <t>Напиток из плодов шиповника</t>
  </si>
  <si>
    <t>14/2008г</t>
  </si>
  <si>
    <t>Салат из свежих овощей</t>
  </si>
  <si>
    <t>347/2021г</t>
  </si>
  <si>
    <t>Котлеты "Школьные"</t>
  </si>
  <si>
    <t>227/2021г</t>
  </si>
  <si>
    <t>Каша ячневая молочная вязкая</t>
  </si>
  <si>
    <t>115/2021г</t>
  </si>
  <si>
    <t>Суп картофельный с клецками</t>
  </si>
  <si>
    <t>492/2004г</t>
  </si>
  <si>
    <t>Плов из птицы</t>
  </si>
  <si>
    <t>18/2021г</t>
  </si>
  <si>
    <t>Салат из свежих помидоров и огурцов</t>
  </si>
  <si>
    <t>389/2021г</t>
  </si>
  <si>
    <t>Пюре из гороха с маслом</t>
  </si>
  <si>
    <t>ТТК-2</t>
  </si>
  <si>
    <t>Салат "Свежесть"</t>
  </si>
  <si>
    <t>114/2021г</t>
  </si>
  <si>
    <t>Суп картофельный с крупой</t>
  </si>
  <si>
    <t>84/2008г</t>
  </si>
  <si>
    <t>Рыба тушеная с овощами</t>
  </si>
  <si>
    <t>94/2021г</t>
  </si>
  <si>
    <t>Борщ с картофелем</t>
  </si>
  <si>
    <t>202/2013г</t>
  </si>
  <si>
    <t>Котлеты рубленые из птицы</t>
  </si>
  <si>
    <t>106/2008г</t>
  </si>
  <si>
    <t xml:space="preserve">Запеканка из творога </t>
  </si>
  <si>
    <t>2/2021г</t>
  </si>
  <si>
    <t>Салат витаминный</t>
  </si>
  <si>
    <t>241/2021г</t>
  </si>
  <si>
    <t>Рис с овощами</t>
  </si>
  <si>
    <t>74/2008г</t>
  </si>
  <si>
    <t>Колобки мясо-картофельные</t>
  </si>
  <si>
    <t>156/2008г</t>
  </si>
  <si>
    <t>Напиток лимонный</t>
  </si>
  <si>
    <t>13/2008г</t>
  </si>
  <si>
    <t>Салат из свежей капусты</t>
  </si>
  <si>
    <t>216/2004г</t>
  </si>
  <si>
    <t xml:space="preserve">Картофель тушеный </t>
  </si>
  <si>
    <t>333/2021г</t>
  </si>
  <si>
    <t>Голубцы ленивые</t>
  </si>
  <si>
    <t>47/2008г</t>
  </si>
  <si>
    <t>Суп картофельный с бобовыми</t>
  </si>
  <si>
    <t>77/2008г</t>
  </si>
  <si>
    <t>Котлета "Здоровье"</t>
  </si>
  <si>
    <t>1 день</t>
  </si>
  <si>
    <t>2 день</t>
  </si>
  <si>
    <t>3 день</t>
  </si>
  <si>
    <t>4 день</t>
  </si>
  <si>
    <t>5 мдень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</si>
  <si>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</si>
  <si>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</si>
  <si>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</si>
  <si>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</si>
  <si>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</si>
  <si>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</si>
  <si>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</si>
  <si>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5 день</t>
  </si>
  <si>
    <t>367/2021г</t>
  </si>
  <si>
    <t>Птица в соусе с томатом</t>
  </si>
  <si>
    <r>
      <t xml:space="preserve">салат Свежесть
</t>
    </r>
    <r>
      <rPr>
        <i/>
        <sz val="9"/>
        <color theme="1"/>
        <rFont val="Calibri"/>
        <family val="2"/>
        <charset val="204"/>
        <scheme val="minor"/>
      </rPr>
      <t>(капуста, морк, кук.консерв)</t>
    </r>
  </si>
  <si>
    <r>
      <t xml:space="preserve">салат витаминный </t>
    </r>
    <r>
      <rPr>
        <i/>
        <sz val="9"/>
        <rFont val="Calibri"/>
        <family val="2"/>
        <charset val="204"/>
        <scheme val="minor"/>
      </rPr>
      <t>(капуста+
морковь+яблоки)</t>
    </r>
  </si>
  <si>
    <r>
      <t xml:space="preserve">салат тазалык
</t>
    </r>
    <r>
      <rPr>
        <i/>
        <sz val="9"/>
        <color theme="1"/>
        <rFont val="Calibri"/>
        <family val="2"/>
        <charset val="204"/>
        <scheme val="minor"/>
      </rPr>
      <t>(капуста,помидоры)</t>
    </r>
  </si>
  <si>
    <r>
      <t xml:space="preserve">салат Степной
</t>
    </r>
    <r>
      <rPr>
        <i/>
        <sz val="9"/>
        <color theme="1"/>
        <rFont val="Calibri"/>
        <family val="2"/>
        <charset val="204"/>
        <scheme val="minor"/>
      </rPr>
      <t>(карт, морк, сол.огур, лук, зел.гор)</t>
    </r>
  </si>
  <si>
    <r>
      <t xml:space="preserve">салат тазалык
</t>
    </r>
    <r>
      <rPr>
        <i/>
        <sz val="9"/>
        <color theme="1"/>
        <rFont val="Calibri"/>
        <family val="2"/>
        <charset val="204"/>
        <scheme val="minor"/>
      </rPr>
      <t>(капуста, помидоры)</t>
    </r>
  </si>
  <si>
    <r>
      <t xml:space="preserve">салат из свежих овощей
</t>
    </r>
    <r>
      <rPr>
        <i/>
        <sz val="9"/>
        <color theme="1"/>
        <rFont val="Calibri"/>
        <family val="2"/>
        <charset val="204"/>
        <scheme val="minor"/>
      </rPr>
      <t>(капуста, огурец, морковь)</t>
    </r>
  </si>
  <si>
    <t>15/2021г</t>
  </si>
  <si>
    <t>Салат из свежих огурцов с луком</t>
  </si>
  <si>
    <t xml:space="preserve">Директор МБОУ "Первомайская СОШ"  </t>
  </si>
  <si>
    <t>Уткина С.А. _________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</si>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</sst>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Calibri"/>
      <family val="2"/>
      <charset val="204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8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7" xfId="0" applyFont="1" applyBorder="1"/>
    <xf numFmtId="0" fontId="1" fillId="2" borderId="7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/>
    <xf numFmtId="0" fontId="0" fillId="0" borderId="0" xfId="0"/>
    <xf numFmtId="0" fontId="2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0" fontId="12" fillId="0" borderId="0" xfId="0" applyFont="1" applyBorder="1"/>
    <xf numFmtId="0" fontId="11" fillId="0" borderId="0" xfId="0" applyFont="1"/>
    <xf numFmtId="0" fontId="1" fillId="2" borderId="35" xfId="0" applyFont="1" applyFill="1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0" fillId="0" borderId="0" xfId="0" applyFont="1"/>
    <xf numFmtId="0" fontId="0" fillId="0" borderId="34" xfId="0" applyBorder="1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" fillId="2" borderId="4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left"/>
    </xf>
    <xf numFmtId="2" fontId="2" fillId="2" borderId="43" xfId="0" applyNumberFormat="1" applyFont="1" applyFill="1" applyBorder="1" applyAlignment="1">
      <alignment horizontal="center"/>
    </xf>
    <xf numFmtId="2" fontId="2" fillId="3" borderId="43" xfId="0" applyNumberFormat="1" applyFont="1" applyFill="1" applyBorder="1" applyAlignment="1">
      <alignment horizontal="center"/>
    </xf>
    <xf numFmtId="2" fontId="2" fillId="3" borderId="46" xfId="0" applyNumberFormat="1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2" fontId="2" fillId="2" borderId="50" xfId="0" applyNumberFormat="1" applyFont="1" applyFill="1" applyBorder="1" applyAlignment="1">
      <alignment horizontal="center"/>
    </xf>
    <xf numFmtId="2" fontId="2" fillId="3" borderId="50" xfId="0" applyNumberFormat="1" applyFont="1" applyFill="1" applyBorder="1" applyAlignment="1">
      <alignment horizontal="center"/>
    </xf>
    <xf numFmtId="2" fontId="2" fillId="3" borderId="54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5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wrapText="1"/>
    </xf>
    <xf numFmtId="0" fontId="1" fillId="0" borderId="46" xfId="0" applyFont="1" applyBorder="1" applyAlignment="1">
      <alignment horizontal="center" vertical="center"/>
    </xf>
    <xf numFmtId="0" fontId="15" fillId="0" borderId="12" xfId="0" applyFont="1" applyBorder="1"/>
    <xf numFmtId="0" fontId="15" fillId="0" borderId="14" xfId="0" applyFont="1" applyBorder="1"/>
    <xf numFmtId="0" fontId="19" fillId="0" borderId="0" xfId="0" applyFont="1"/>
    <xf numFmtId="0" fontId="20" fillId="2" borderId="51" xfId="0" applyFont="1" applyFill="1" applyBorder="1" applyAlignment="1">
      <alignment horizontal="center" vertical="center"/>
    </xf>
    <xf numFmtId="0" fontId="20" fillId="2" borderId="6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17" fillId="4" borderId="62" xfId="0" applyFont="1" applyFill="1" applyBorder="1" applyAlignment="1">
      <alignment horizontal="center" vertical="center"/>
    </xf>
    <xf numFmtId="0" fontId="21" fillId="5" borderId="8" xfId="0" applyFont="1" applyFill="1" applyBorder="1"/>
    <xf numFmtId="0" fontId="15" fillId="5" borderId="9" xfId="0" applyFont="1" applyFill="1" applyBorder="1"/>
    <xf numFmtId="0" fontId="0" fillId="0" borderId="0" xfId="0" applyAlignment="1">
      <alignment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20" fillId="2" borderId="60" xfId="0" applyFont="1" applyFill="1" applyBorder="1" applyAlignment="1">
      <alignment horizontal="center" vertical="center" textRotation="90"/>
    </xf>
    <xf numFmtId="0" fontId="20" fillId="2" borderId="6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20" fillId="2" borderId="57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 applyProtection="1">
      <alignment horizontal="center" vertical="center"/>
    </xf>
    <xf numFmtId="49" fontId="18" fillId="2" borderId="16" xfId="1" applyNumberFormat="1" applyFont="1" applyFill="1" applyBorder="1" applyAlignment="1" applyProtection="1">
      <alignment horizontal="center" vertical="center"/>
    </xf>
    <xf numFmtId="49" fontId="18" fillId="2" borderId="2" xfId="1" applyNumberFormat="1" applyFont="1" applyFill="1" applyBorder="1" applyAlignment="1" applyProtection="1">
      <alignment horizontal="center" vertical="center"/>
    </xf>
    <xf numFmtId="49" fontId="18" fillId="2" borderId="58" xfId="1" applyNumberFormat="1" applyFont="1" applyFill="1" applyBorder="1" applyAlignment="1" applyProtection="1">
      <alignment horizontal="center" vertical="center"/>
    </xf>
    <xf numFmtId="49" fontId="18" fillId="2" borderId="48" xfId="1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18" fillId="2" borderId="24" xfId="1" applyNumberFormat="1" applyFont="1" applyFill="1" applyBorder="1" applyAlignment="1" applyProtection="1">
      <alignment horizontal="center" vertical="center"/>
    </xf>
    <xf numFmtId="49" fontId="18" fillId="2" borderId="55" xfId="1" applyNumberFormat="1" applyFont="1" applyFill="1" applyBorder="1" applyAlignment="1" applyProtection="1">
      <alignment horizontal="center" vertical="center"/>
    </xf>
    <xf numFmtId="49" fontId="18" fillId="2" borderId="59" xfId="1" applyNumberFormat="1" applyFont="1" applyFill="1" applyBorder="1" applyAlignment="1" applyProtection="1">
      <alignment horizontal="center" vertical="center"/>
    </xf>
    <xf numFmtId="49" fontId="16" fillId="4" borderId="23" xfId="1" applyNumberFormat="1" applyFont="1" applyFill="1" applyBorder="1" applyAlignment="1" applyProtection="1">
      <alignment horizontal="center" vertical="center"/>
    </xf>
    <xf numFmtId="49" fontId="16" fillId="4" borderId="37" xfId="1" applyNumberFormat="1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6" borderId="5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0" fillId="2" borderId="19" xfId="0" applyFont="1" applyFill="1" applyBorder="1" applyAlignment="1">
      <alignment horizontal="center" vertical="center" textRotation="90"/>
    </xf>
    <xf numFmtId="0" fontId="20" fillId="2" borderId="20" xfId="0" applyFont="1" applyFill="1" applyBorder="1" applyAlignment="1">
      <alignment horizontal="center" vertical="center" textRotation="90"/>
    </xf>
    <xf numFmtId="0" fontId="20" fillId="2" borderId="42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 textRotation="90"/>
    </xf>
    <xf numFmtId="49" fontId="18" fillId="2" borderId="15" xfId="1" applyNumberFormat="1" applyFont="1" applyFill="1" applyBorder="1" applyAlignment="1" applyProtection="1">
      <alignment horizontal="center" vertical="center" wrapText="1"/>
    </xf>
    <xf numFmtId="49" fontId="18" fillId="2" borderId="48" xfId="1" applyNumberFormat="1" applyFont="1" applyFill="1" applyBorder="1" applyAlignment="1" applyProtection="1">
      <alignment horizontal="center" vertical="center" wrapText="1"/>
    </xf>
    <xf numFmtId="49" fontId="16" fillId="4" borderId="52" xfId="1" applyNumberFormat="1" applyFont="1" applyFill="1" applyBorder="1" applyAlignment="1" applyProtection="1">
      <alignment horizontal="center" vertical="center"/>
    </xf>
    <xf numFmtId="49" fontId="16" fillId="4" borderId="56" xfId="1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0" borderId="0" xfId="0" applyFont="1"/>
    <xf numFmtId="0" fontId="9" fillId="3" borderId="19" xfId="0" applyFont="1" applyFill="1" applyBorder="1" applyAlignment="1">
      <alignment vertical="center" textRotation="90"/>
    </xf>
    <xf numFmtId="0" fontId="9" fillId="3" borderId="20" xfId="0" applyFont="1" applyFill="1" applyBorder="1" applyAlignment="1">
      <alignment vertical="center" textRotation="90"/>
    </xf>
    <xf numFmtId="0" fontId="9" fillId="3" borderId="21" xfId="0" applyFont="1" applyFill="1" applyBorder="1" applyAlignment="1">
      <alignment vertical="center" textRotation="90"/>
    </xf>
    <xf numFmtId="0" fontId="2" fillId="2" borderId="2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4" xfId="0" applyFont="1" applyFill="1" applyBorder="1" applyAlignment="1">
      <alignment vertical="center" textRotation="90"/>
    </xf>
    <xf numFmtId="0" fontId="2" fillId="2" borderId="47" xfId="0" applyFont="1" applyFill="1" applyBorder="1" applyAlignment="1">
      <alignment vertical="center" textRotation="90"/>
    </xf>
    <xf numFmtId="0" fontId="2" fillId="2" borderId="29" xfId="0" applyFont="1" applyFill="1" applyBorder="1" applyAlignment="1">
      <alignment horizontal="center" vertical="center" textRotation="90"/>
    </xf>
    <xf numFmtId="0" fontId="2" fillId="2" borderId="30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 vertical="center" textRotation="90"/>
    </xf>
    <xf numFmtId="0" fontId="2" fillId="2" borderId="27" xfId="0" applyFont="1" applyFill="1" applyBorder="1" applyAlignment="1">
      <alignment horizontal="center" vertical="center" textRotation="90"/>
    </xf>
    <xf numFmtId="0" fontId="2" fillId="2" borderId="28" xfId="0" applyFont="1" applyFill="1" applyBorder="1" applyAlignment="1">
      <alignment horizontal="center" vertical="center" textRotation="90"/>
    </xf>
    <xf numFmtId="0" fontId="2" fillId="2" borderId="2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 vertical="center" textRotation="90"/>
    </xf>
    <xf numFmtId="0" fontId="2" fillId="2" borderId="47" xfId="0" applyFont="1" applyFill="1" applyBorder="1" applyAlignment="1">
      <alignment horizontal="center" vertical="center" textRotation="90"/>
    </xf>
    <xf numFmtId="0" fontId="2" fillId="2" borderId="45" xfId="0" applyFont="1" applyFill="1" applyBorder="1" applyAlignment="1">
      <alignment horizontal="center" vertical="center" textRotation="90"/>
    </xf>
    <xf numFmtId="0" fontId="2" fillId="0" borderId="2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/>
    </xf>
    <xf numFmtId="0" fontId="2" fillId="0" borderId="45" xfId="0" applyFont="1" applyBorder="1" applyAlignment="1">
      <alignment horizontal="center" vertical="center" textRotation="90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3" fillId="2" borderId="34" xfId="0" applyFont="1" applyFill="1" applyBorder="1" applyAlignment="1">
      <alignment horizontal="center"/>
    </xf>
    <xf numFmtId="0" fontId="1" fillId="0" borderId="40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textRotation="90"/>
    </xf>
    <xf numFmtId="0" fontId="2" fillId="0" borderId="27" xfId="0" applyFont="1" applyBorder="1" applyAlignment="1">
      <alignment horizontal="center" vertical="center" textRotation="90"/>
    </xf>
    <xf numFmtId="0" fontId="2" fillId="0" borderId="28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99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8"/>
  <sheetViews>
    <sheetView zoomScale="90" zoomScaleNormal="90" workbookViewId="0">
      <selection activeCell="D6" sqref="D6:E6"/>
    </sheetView>
  </sheetViews>
  <sheetFormatPr defaultRowHeight="12.75" x14ac:dyDescent="0.2"/>
  <cols>
    <col min="1" max="1" width="5.42578125" style="82" customWidth="1"/>
    <col min="2" max="2" width="5.7109375" style="100" customWidth="1"/>
    <col min="3" max="3" width="11.42578125" style="82" customWidth="1"/>
    <col min="4" max="4" width="11" style="82" customWidth="1"/>
    <col min="5" max="5" width="12" style="82" customWidth="1"/>
    <col min="6" max="7" width="12.7109375" style="82" customWidth="1"/>
    <col min="8" max="8" width="12.85546875" style="82" customWidth="1"/>
    <col min="9" max="9" width="11.42578125" style="82" customWidth="1"/>
    <col min="10" max="10" width="14.140625" style="82" customWidth="1"/>
    <col min="11" max="12" width="10.7109375" style="82" customWidth="1"/>
    <col min="13" max="13" width="12.140625" style="82" customWidth="1"/>
    <col min="14" max="14" width="22.140625" style="82" customWidth="1"/>
    <col min="15" max="256" width="9.140625" style="82"/>
    <col min="257" max="257" width="5.42578125" style="82" customWidth="1"/>
    <col min="258" max="258" width="7" style="82" customWidth="1"/>
    <col min="259" max="259" width="11.42578125" style="82" customWidth="1"/>
    <col min="260" max="260" width="11" style="82" customWidth="1"/>
    <col min="261" max="261" width="15" style="82" customWidth="1"/>
    <col min="262" max="263" width="12.7109375" style="82" customWidth="1"/>
    <col min="264" max="264" width="12.85546875" style="82" customWidth="1"/>
    <col min="265" max="265" width="11.42578125" style="82" customWidth="1"/>
    <col min="266" max="266" width="14.140625" style="82" customWidth="1"/>
    <col min="267" max="267" width="7.7109375" style="82" customWidth="1"/>
    <col min="268" max="268" width="9.140625" style="82"/>
    <col min="269" max="269" width="12.140625" style="82" customWidth="1"/>
    <col min="270" max="270" width="22.140625" style="82" customWidth="1"/>
    <col min="271" max="512" width="9.140625" style="82"/>
    <col min="513" max="513" width="5.42578125" style="82" customWidth="1"/>
    <col min="514" max="514" width="7" style="82" customWidth="1"/>
    <col min="515" max="515" width="11.42578125" style="82" customWidth="1"/>
    <col min="516" max="516" width="11" style="82" customWidth="1"/>
    <col min="517" max="517" width="15" style="82" customWidth="1"/>
    <col min="518" max="519" width="12.7109375" style="82" customWidth="1"/>
    <col min="520" max="520" width="12.85546875" style="82" customWidth="1"/>
    <col min="521" max="521" width="11.42578125" style="82" customWidth="1"/>
    <col min="522" max="522" width="14.140625" style="82" customWidth="1"/>
    <col min="523" max="523" width="7.7109375" style="82" customWidth="1"/>
    <col min="524" max="524" width="9.140625" style="82"/>
    <col min="525" max="525" width="12.140625" style="82" customWidth="1"/>
    <col min="526" max="526" width="22.140625" style="82" customWidth="1"/>
    <col min="527" max="768" width="9.140625" style="82"/>
    <col min="769" max="769" width="5.42578125" style="82" customWidth="1"/>
    <col min="770" max="770" width="7" style="82" customWidth="1"/>
    <col min="771" max="771" width="11.42578125" style="82" customWidth="1"/>
    <col min="772" max="772" width="11" style="82" customWidth="1"/>
    <col min="773" max="773" width="15" style="82" customWidth="1"/>
    <col min="774" max="775" width="12.7109375" style="82" customWidth="1"/>
    <col min="776" max="776" width="12.85546875" style="82" customWidth="1"/>
    <col min="777" max="777" width="11.42578125" style="82" customWidth="1"/>
    <col min="778" max="778" width="14.140625" style="82" customWidth="1"/>
    <col min="779" max="779" width="7.7109375" style="82" customWidth="1"/>
    <col min="780" max="780" width="9.140625" style="82"/>
    <col min="781" max="781" width="12.140625" style="82" customWidth="1"/>
    <col min="782" max="782" width="22.140625" style="82" customWidth="1"/>
    <col min="783" max="1024" width="9.140625" style="82"/>
    <col min="1025" max="1025" width="5.42578125" style="82" customWidth="1"/>
    <col min="1026" max="1026" width="7" style="82" customWidth="1"/>
    <col min="1027" max="1027" width="11.42578125" style="82" customWidth="1"/>
    <col min="1028" max="1028" width="11" style="82" customWidth="1"/>
    <col min="1029" max="1029" width="15" style="82" customWidth="1"/>
    <col min="1030" max="1031" width="12.7109375" style="82" customWidth="1"/>
    <col min="1032" max="1032" width="12.85546875" style="82" customWidth="1"/>
    <col min="1033" max="1033" width="11.42578125" style="82" customWidth="1"/>
    <col min="1034" max="1034" width="14.140625" style="82" customWidth="1"/>
    <col min="1035" max="1035" width="7.7109375" style="82" customWidth="1"/>
    <col min="1036" max="1036" width="9.140625" style="82"/>
    <col min="1037" max="1037" width="12.140625" style="82" customWidth="1"/>
    <col min="1038" max="1038" width="22.140625" style="82" customWidth="1"/>
    <col min="1039" max="1280" width="9.140625" style="82"/>
    <col min="1281" max="1281" width="5.42578125" style="82" customWidth="1"/>
    <col min="1282" max="1282" width="7" style="82" customWidth="1"/>
    <col min="1283" max="1283" width="11.42578125" style="82" customWidth="1"/>
    <col min="1284" max="1284" width="11" style="82" customWidth="1"/>
    <col min="1285" max="1285" width="15" style="82" customWidth="1"/>
    <col min="1286" max="1287" width="12.7109375" style="82" customWidth="1"/>
    <col min="1288" max="1288" width="12.85546875" style="82" customWidth="1"/>
    <col min="1289" max="1289" width="11.42578125" style="82" customWidth="1"/>
    <col min="1290" max="1290" width="14.140625" style="82" customWidth="1"/>
    <col min="1291" max="1291" width="7.7109375" style="82" customWidth="1"/>
    <col min="1292" max="1292" width="9.140625" style="82"/>
    <col min="1293" max="1293" width="12.140625" style="82" customWidth="1"/>
    <col min="1294" max="1294" width="22.140625" style="82" customWidth="1"/>
    <col min="1295" max="1536" width="9.140625" style="82"/>
    <col min="1537" max="1537" width="5.42578125" style="82" customWidth="1"/>
    <col min="1538" max="1538" width="7" style="82" customWidth="1"/>
    <col min="1539" max="1539" width="11.42578125" style="82" customWidth="1"/>
    <col min="1540" max="1540" width="11" style="82" customWidth="1"/>
    <col min="1541" max="1541" width="15" style="82" customWidth="1"/>
    <col min="1542" max="1543" width="12.7109375" style="82" customWidth="1"/>
    <col min="1544" max="1544" width="12.85546875" style="82" customWidth="1"/>
    <col min="1545" max="1545" width="11.42578125" style="82" customWidth="1"/>
    <col min="1546" max="1546" width="14.140625" style="82" customWidth="1"/>
    <col min="1547" max="1547" width="7.7109375" style="82" customWidth="1"/>
    <col min="1548" max="1548" width="9.140625" style="82"/>
    <col min="1549" max="1549" width="12.140625" style="82" customWidth="1"/>
    <col min="1550" max="1550" width="22.140625" style="82" customWidth="1"/>
    <col min="1551" max="1792" width="9.140625" style="82"/>
    <col min="1793" max="1793" width="5.42578125" style="82" customWidth="1"/>
    <col min="1794" max="1794" width="7" style="82" customWidth="1"/>
    <col min="1795" max="1795" width="11.42578125" style="82" customWidth="1"/>
    <col min="1796" max="1796" width="11" style="82" customWidth="1"/>
    <col min="1797" max="1797" width="15" style="82" customWidth="1"/>
    <col min="1798" max="1799" width="12.7109375" style="82" customWidth="1"/>
    <col min="1800" max="1800" width="12.85546875" style="82" customWidth="1"/>
    <col min="1801" max="1801" width="11.42578125" style="82" customWidth="1"/>
    <col min="1802" max="1802" width="14.140625" style="82" customWidth="1"/>
    <col min="1803" max="1803" width="7.7109375" style="82" customWidth="1"/>
    <col min="1804" max="1804" width="9.140625" style="82"/>
    <col min="1805" max="1805" width="12.140625" style="82" customWidth="1"/>
    <col min="1806" max="1806" width="22.140625" style="82" customWidth="1"/>
    <col min="1807" max="2048" width="9.140625" style="82"/>
    <col min="2049" max="2049" width="5.42578125" style="82" customWidth="1"/>
    <col min="2050" max="2050" width="7" style="82" customWidth="1"/>
    <col min="2051" max="2051" width="11.42578125" style="82" customWidth="1"/>
    <col min="2052" max="2052" width="11" style="82" customWidth="1"/>
    <col min="2053" max="2053" width="15" style="82" customWidth="1"/>
    <col min="2054" max="2055" width="12.7109375" style="82" customWidth="1"/>
    <col min="2056" max="2056" width="12.85546875" style="82" customWidth="1"/>
    <col min="2057" max="2057" width="11.42578125" style="82" customWidth="1"/>
    <col min="2058" max="2058" width="14.140625" style="82" customWidth="1"/>
    <col min="2059" max="2059" width="7.7109375" style="82" customWidth="1"/>
    <col min="2060" max="2060" width="9.140625" style="82"/>
    <col min="2061" max="2061" width="12.140625" style="82" customWidth="1"/>
    <col min="2062" max="2062" width="22.140625" style="82" customWidth="1"/>
    <col min="2063" max="2304" width="9.140625" style="82"/>
    <col min="2305" max="2305" width="5.42578125" style="82" customWidth="1"/>
    <col min="2306" max="2306" width="7" style="82" customWidth="1"/>
    <col min="2307" max="2307" width="11.42578125" style="82" customWidth="1"/>
    <col min="2308" max="2308" width="11" style="82" customWidth="1"/>
    <col min="2309" max="2309" width="15" style="82" customWidth="1"/>
    <col min="2310" max="2311" width="12.7109375" style="82" customWidth="1"/>
    <col min="2312" max="2312" width="12.85546875" style="82" customWidth="1"/>
    <col min="2313" max="2313" width="11.42578125" style="82" customWidth="1"/>
    <col min="2314" max="2314" width="14.140625" style="82" customWidth="1"/>
    <col min="2315" max="2315" width="7.7109375" style="82" customWidth="1"/>
    <col min="2316" max="2316" width="9.140625" style="82"/>
    <col min="2317" max="2317" width="12.140625" style="82" customWidth="1"/>
    <col min="2318" max="2318" width="22.140625" style="82" customWidth="1"/>
    <col min="2319" max="2560" width="9.140625" style="82"/>
    <col min="2561" max="2561" width="5.42578125" style="82" customWidth="1"/>
    <col min="2562" max="2562" width="7" style="82" customWidth="1"/>
    <col min="2563" max="2563" width="11.42578125" style="82" customWidth="1"/>
    <col min="2564" max="2564" width="11" style="82" customWidth="1"/>
    <col min="2565" max="2565" width="15" style="82" customWidth="1"/>
    <col min="2566" max="2567" width="12.7109375" style="82" customWidth="1"/>
    <col min="2568" max="2568" width="12.85546875" style="82" customWidth="1"/>
    <col min="2569" max="2569" width="11.42578125" style="82" customWidth="1"/>
    <col min="2570" max="2570" width="14.140625" style="82" customWidth="1"/>
    <col min="2571" max="2571" width="7.7109375" style="82" customWidth="1"/>
    <col min="2572" max="2572" width="9.140625" style="82"/>
    <col min="2573" max="2573" width="12.140625" style="82" customWidth="1"/>
    <col min="2574" max="2574" width="22.140625" style="82" customWidth="1"/>
    <col min="2575" max="2816" width="9.140625" style="82"/>
    <col min="2817" max="2817" width="5.42578125" style="82" customWidth="1"/>
    <col min="2818" max="2818" width="7" style="82" customWidth="1"/>
    <col min="2819" max="2819" width="11.42578125" style="82" customWidth="1"/>
    <col min="2820" max="2820" width="11" style="82" customWidth="1"/>
    <col min="2821" max="2821" width="15" style="82" customWidth="1"/>
    <col min="2822" max="2823" width="12.7109375" style="82" customWidth="1"/>
    <col min="2824" max="2824" width="12.85546875" style="82" customWidth="1"/>
    <col min="2825" max="2825" width="11.42578125" style="82" customWidth="1"/>
    <col min="2826" max="2826" width="14.140625" style="82" customWidth="1"/>
    <col min="2827" max="2827" width="7.7109375" style="82" customWidth="1"/>
    <col min="2828" max="2828" width="9.140625" style="82"/>
    <col min="2829" max="2829" width="12.140625" style="82" customWidth="1"/>
    <col min="2830" max="2830" width="22.140625" style="82" customWidth="1"/>
    <col min="2831" max="3072" width="9.140625" style="82"/>
    <col min="3073" max="3073" width="5.42578125" style="82" customWidth="1"/>
    <col min="3074" max="3074" width="7" style="82" customWidth="1"/>
    <col min="3075" max="3075" width="11.42578125" style="82" customWidth="1"/>
    <col min="3076" max="3076" width="11" style="82" customWidth="1"/>
    <col min="3077" max="3077" width="15" style="82" customWidth="1"/>
    <col min="3078" max="3079" width="12.7109375" style="82" customWidth="1"/>
    <col min="3080" max="3080" width="12.85546875" style="82" customWidth="1"/>
    <col min="3081" max="3081" width="11.42578125" style="82" customWidth="1"/>
    <col min="3082" max="3082" width="14.140625" style="82" customWidth="1"/>
    <col min="3083" max="3083" width="7.7109375" style="82" customWidth="1"/>
    <col min="3084" max="3084" width="9.140625" style="82"/>
    <col min="3085" max="3085" width="12.140625" style="82" customWidth="1"/>
    <col min="3086" max="3086" width="22.140625" style="82" customWidth="1"/>
    <col min="3087" max="3328" width="9.140625" style="82"/>
    <col min="3329" max="3329" width="5.42578125" style="82" customWidth="1"/>
    <col min="3330" max="3330" width="7" style="82" customWidth="1"/>
    <col min="3331" max="3331" width="11.42578125" style="82" customWidth="1"/>
    <col min="3332" max="3332" width="11" style="82" customWidth="1"/>
    <col min="3333" max="3333" width="15" style="82" customWidth="1"/>
    <col min="3334" max="3335" width="12.7109375" style="82" customWidth="1"/>
    <col min="3336" max="3336" width="12.85546875" style="82" customWidth="1"/>
    <col min="3337" max="3337" width="11.42578125" style="82" customWidth="1"/>
    <col min="3338" max="3338" width="14.140625" style="82" customWidth="1"/>
    <col min="3339" max="3339" width="7.7109375" style="82" customWidth="1"/>
    <col min="3340" max="3340" width="9.140625" style="82"/>
    <col min="3341" max="3341" width="12.140625" style="82" customWidth="1"/>
    <col min="3342" max="3342" width="22.140625" style="82" customWidth="1"/>
    <col min="3343" max="3584" width="9.140625" style="82"/>
    <col min="3585" max="3585" width="5.42578125" style="82" customWidth="1"/>
    <col min="3586" max="3586" width="7" style="82" customWidth="1"/>
    <col min="3587" max="3587" width="11.42578125" style="82" customWidth="1"/>
    <col min="3588" max="3588" width="11" style="82" customWidth="1"/>
    <col min="3589" max="3589" width="15" style="82" customWidth="1"/>
    <col min="3590" max="3591" width="12.7109375" style="82" customWidth="1"/>
    <col min="3592" max="3592" width="12.85546875" style="82" customWidth="1"/>
    <col min="3593" max="3593" width="11.42578125" style="82" customWidth="1"/>
    <col min="3594" max="3594" width="14.140625" style="82" customWidth="1"/>
    <col min="3595" max="3595" width="7.7109375" style="82" customWidth="1"/>
    <col min="3596" max="3596" width="9.140625" style="82"/>
    <col min="3597" max="3597" width="12.140625" style="82" customWidth="1"/>
    <col min="3598" max="3598" width="22.140625" style="82" customWidth="1"/>
    <col min="3599" max="3840" width="9.140625" style="82"/>
    <col min="3841" max="3841" width="5.42578125" style="82" customWidth="1"/>
    <col min="3842" max="3842" width="7" style="82" customWidth="1"/>
    <col min="3843" max="3843" width="11.42578125" style="82" customWidth="1"/>
    <col min="3844" max="3844" width="11" style="82" customWidth="1"/>
    <col min="3845" max="3845" width="15" style="82" customWidth="1"/>
    <col min="3846" max="3847" width="12.7109375" style="82" customWidth="1"/>
    <col min="3848" max="3848" width="12.85546875" style="82" customWidth="1"/>
    <col min="3849" max="3849" width="11.42578125" style="82" customWidth="1"/>
    <col min="3850" max="3850" width="14.140625" style="82" customWidth="1"/>
    <col min="3851" max="3851" width="7.7109375" style="82" customWidth="1"/>
    <col min="3852" max="3852" width="9.140625" style="82"/>
    <col min="3853" max="3853" width="12.140625" style="82" customWidth="1"/>
    <col min="3854" max="3854" width="22.140625" style="82" customWidth="1"/>
    <col min="3855" max="4096" width="9.140625" style="82"/>
    <col min="4097" max="4097" width="5.42578125" style="82" customWidth="1"/>
    <col min="4098" max="4098" width="7" style="82" customWidth="1"/>
    <col min="4099" max="4099" width="11.42578125" style="82" customWidth="1"/>
    <col min="4100" max="4100" width="11" style="82" customWidth="1"/>
    <col min="4101" max="4101" width="15" style="82" customWidth="1"/>
    <col min="4102" max="4103" width="12.7109375" style="82" customWidth="1"/>
    <col min="4104" max="4104" width="12.85546875" style="82" customWidth="1"/>
    <col min="4105" max="4105" width="11.42578125" style="82" customWidth="1"/>
    <col min="4106" max="4106" width="14.140625" style="82" customWidth="1"/>
    <col min="4107" max="4107" width="7.7109375" style="82" customWidth="1"/>
    <col min="4108" max="4108" width="9.140625" style="82"/>
    <col min="4109" max="4109" width="12.140625" style="82" customWidth="1"/>
    <col min="4110" max="4110" width="22.140625" style="82" customWidth="1"/>
    <col min="4111" max="4352" width="9.140625" style="82"/>
    <col min="4353" max="4353" width="5.42578125" style="82" customWidth="1"/>
    <col min="4354" max="4354" width="7" style="82" customWidth="1"/>
    <col min="4355" max="4355" width="11.42578125" style="82" customWidth="1"/>
    <col min="4356" max="4356" width="11" style="82" customWidth="1"/>
    <col min="4357" max="4357" width="15" style="82" customWidth="1"/>
    <col min="4358" max="4359" width="12.7109375" style="82" customWidth="1"/>
    <col min="4360" max="4360" width="12.85546875" style="82" customWidth="1"/>
    <col min="4361" max="4361" width="11.42578125" style="82" customWidth="1"/>
    <col min="4362" max="4362" width="14.140625" style="82" customWidth="1"/>
    <col min="4363" max="4363" width="7.7109375" style="82" customWidth="1"/>
    <col min="4364" max="4364" width="9.140625" style="82"/>
    <col min="4365" max="4365" width="12.140625" style="82" customWidth="1"/>
    <col min="4366" max="4366" width="22.140625" style="82" customWidth="1"/>
    <col min="4367" max="4608" width="9.140625" style="82"/>
    <col min="4609" max="4609" width="5.42578125" style="82" customWidth="1"/>
    <col min="4610" max="4610" width="7" style="82" customWidth="1"/>
    <col min="4611" max="4611" width="11.42578125" style="82" customWidth="1"/>
    <col min="4612" max="4612" width="11" style="82" customWidth="1"/>
    <col min="4613" max="4613" width="15" style="82" customWidth="1"/>
    <col min="4614" max="4615" width="12.7109375" style="82" customWidth="1"/>
    <col min="4616" max="4616" width="12.85546875" style="82" customWidth="1"/>
    <col min="4617" max="4617" width="11.42578125" style="82" customWidth="1"/>
    <col min="4618" max="4618" width="14.140625" style="82" customWidth="1"/>
    <col min="4619" max="4619" width="7.7109375" style="82" customWidth="1"/>
    <col min="4620" max="4620" width="9.140625" style="82"/>
    <col min="4621" max="4621" width="12.140625" style="82" customWidth="1"/>
    <col min="4622" max="4622" width="22.140625" style="82" customWidth="1"/>
    <col min="4623" max="4864" width="9.140625" style="82"/>
    <col min="4865" max="4865" width="5.42578125" style="82" customWidth="1"/>
    <col min="4866" max="4866" width="7" style="82" customWidth="1"/>
    <col min="4867" max="4867" width="11.42578125" style="82" customWidth="1"/>
    <col min="4868" max="4868" width="11" style="82" customWidth="1"/>
    <col min="4869" max="4869" width="15" style="82" customWidth="1"/>
    <col min="4870" max="4871" width="12.7109375" style="82" customWidth="1"/>
    <col min="4872" max="4872" width="12.85546875" style="82" customWidth="1"/>
    <col min="4873" max="4873" width="11.42578125" style="82" customWidth="1"/>
    <col min="4874" max="4874" width="14.140625" style="82" customWidth="1"/>
    <col min="4875" max="4875" width="7.7109375" style="82" customWidth="1"/>
    <col min="4876" max="4876" width="9.140625" style="82"/>
    <col min="4877" max="4877" width="12.140625" style="82" customWidth="1"/>
    <col min="4878" max="4878" width="22.140625" style="82" customWidth="1"/>
    <col min="4879" max="5120" width="9.140625" style="82"/>
    <col min="5121" max="5121" width="5.42578125" style="82" customWidth="1"/>
    <col min="5122" max="5122" width="7" style="82" customWidth="1"/>
    <col min="5123" max="5123" width="11.42578125" style="82" customWidth="1"/>
    <col min="5124" max="5124" width="11" style="82" customWidth="1"/>
    <col min="5125" max="5125" width="15" style="82" customWidth="1"/>
    <col min="5126" max="5127" width="12.7109375" style="82" customWidth="1"/>
    <col min="5128" max="5128" width="12.85546875" style="82" customWidth="1"/>
    <col min="5129" max="5129" width="11.42578125" style="82" customWidth="1"/>
    <col min="5130" max="5130" width="14.140625" style="82" customWidth="1"/>
    <col min="5131" max="5131" width="7.7109375" style="82" customWidth="1"/>
    <col min="5132" max="5132" width="9.140625" style="82"/>
    <col min="5133" max="5133" width="12.140625" style="82" customWidth="1"/>
    <col min="5134" max="5134" width="22.140625" style="82" customWidth="1"/>
    <col min="5135" max="5376" width="9.140625" style="82"/>
    <col min="5377" max="5377" width="5.42578125" style="82" customWidth="1"/>
    <col min="5378" max="5378" width="7" style="82" customWidth="1"/>
    <col min="5379" max="5379" width="11.42578125" style="82" customWidth="1"/>
    <col min="5380" max="5380" width="11" style="82" customWidth="1"/>
    <col min="5381" max="5381" width="15" style="82" customWidth="1"/>
    <col min="5382" max="5383" width="12.7109375" style="82" customWidth="1"/>
    <col min="5384" max="5384" width="12.85546875" style="82" customWidth="1"/>
    <col min="5385" max="5385" width="11.42578125" style="82" customWidth="1"/>
    <col min="5386" max="5386" width="14.140625" style="82" customWidth="1"/>
    <col min="5387" max="5387" width="7.7109375" style="82" customWidth="1"/>
    <col min="5388" max="5388" width="9.140625" style="82"/>
    <col min="5389" max="5389" width="12.140625" style="82" customWidth="1"/>
    <col min="5390" max="5390" width="22.140625" style="82" customWidth="1"/>
    <col min="5391" max="5632" width="9.140625" style="82"/>
    <col min="5633" max="5633" width="5.42578125" style="82" customWidth="1"/>
    <col min="5634" max="5634" width="7" style="82" customWidth="1"/>
    <col min="5635" max="5635" width="11.42578125" style="82" customWidth="1"/>
    <col min="5636" max="5636" width="11" style="82" customWidth="1"/>
    <col min="5637" max="5637" width="15" style="82" customWidth="1"/>
    <col min="5638" max="5639" width="12.7109375" style="82" customWidth="1"/>
    <col min="5640" max="5640" width="12.85546875" style="82" customWidth="1"/>
    <col min="5641" max="5641" width="11.42578125" style="82" customWidth="1"/>
    <col min="5642" max="5642" width="14.140625" style="82" customWidth="1"/>
    <col min="5643" max="5643" width="7.7109375" style="82" customWidth="1"/>
    <col min="5644" max="5644" width="9.140625" style="82"/>
    <col min="5645" max="5645" width="12.140625" style="82" customWidth="1"/>
    <col min="5646" max="5646" width="22.140625" style="82" customWidth="1"/>
    <col min="5647" max="5888" width="9.140625" style="82"/>
    <col min="5889" max="5889" width="5.42578125" style="82" customWidth="1"/>
    <col min="5890" max="5890" width="7" style="82" customWidth="1"/>
    <col min="5891" max="5891" width="11.42578125" style="82" customWidth="1"/>
    <col min="5892" max="5892" width="11" style="82" customWidth="1"/>
    <col min="5893" max="5893" width="15" style="82" customWidth="1"/>
    <col min="5894" max="5895" width="12.7109375" style="82" customWidth="1"/>
    <col min="5896" max="5896" width="12.85546875" style="82" customWidth="1"/>
    <col min="5897" max="5897" width="11.42578125" style="82" customWidth="1"/>
    <col min="5898" max="5898" width="14.140625" style="82" customWidth="1"/>
    <col min="5899" max="5899" width="7.7109375" style="82" customWidth="1"/>
    <col min="5900" max="5900" width="9.140625" style="82"/>
    <col min="5901" max="5901" width="12.140625" style="82" customWidth="1"/>
    <col min="5902" max="5902" width="22.140625" style="82" customWidth="1"/>
    <col min="5903" max="6144" width="9.140625" style="82"/>
    <col min="6145" max="6145" width="5.42578125" style="82" customWidth="1"/>
    <col min="6146" max="6146" width="7" style="82" customWidth="1"/>
    <col min="6147" max="6147" width="11.42578125" style="82" customWidth="1"/>
    <col min="6148" max="6148" width="11" style="82" customWidth="1"/>
    <col min="6149" max="6149" width="15" style="82" customWidth="1"/>
    <col min="6150" max="6151" width="12.7109375" style="82" customWidth="1"/>
    <col min="6152" max="6152" width="12.85546875" style="82" customWidth="1"/>
    <col min="6153" max="6153" width="11.42578125" style="82" customWidth="1"/>
    <col min="6154" max="6154" width="14.140625" style="82" customWidth="1"/>
    <col min="6155" max="6155" width="7.7109375" style="82" customWidth="1"/>
    <col min="6156" max="6156" width="9.140625" style="82"/>
    <col min="6157" max="6157" width="12.140625" style="82" customWidth="1"/>
    <col min="6158" max="6158" width="22.140625" style="82" customWidth="1"/>
    <col min="6159" max="6400" width="9.140625" style="82"/>
    <col min="6401" max="6401" width="5.42578125" style="82" customWidth="1"/>
    <col min="6402" max="6402" width="7" style="82" customWidth="1"/>
    <col min="6403" max="6403" width="11.42578125" style="82" customWidth="1"/>
    <col min="6404" max="6404" width="11" style="82" customWidth="1"/>
    <col min="6405" max="6405" width="15" style="82" customWidth="1"/>
    <col min="6406" max="6407" width="12.7109375" style="82" customWidth="1"/>
    <col min="6408" max="6408" width="12.85546875" style="82" customWidth="1"/>
    <col min="6409" max="6409" width="11.42578125" style="82" customWidth="1"/>
    <col min="6410" max="6410" width="14.140625" style="82" customWidth="1"/>
    <col min="6411" max="6411" width="7.7109375" style="82" customWidth="1"/>
    <col min="6412" max="6412" width="9.140625" style="82"/>
    <col min="6413" max="6413" width="12.140625" style="82" customWidth="1"/>
    <col min="6414" max="6414" width="22.140625" style="82" customWidth="1"/>
    <col min="6415" max="6656" width="9.140625" style="82"/>
    <col min="6657" max="6657" width="5.42578125" style="82" customWidth="1"/>
    <col min="6658" max="6658" width="7" style="82" customWidth="1"/>
    <col min="6659" max="6659" width="11.42578125" style="82" customWidth="1"/>
    <col min="6660" max="6660" width="11" style="82" customWidth="1"/>
    <col min="6661" max="6661" width="15" style="82" customWidth="1"/>
    <col min="6662" max="6663" width="12.7109375" style="82" customWidth="1"/>
    <col min="6664" max="6664" width="12.85546875" style="82" customWidth="1"/>
    <col min="6665" max="6665" width="11.42578125" style="82" customWidth="1"/>
    <col min="6666" max="6666" width="14.140625" style="82" customWidth="1"/>
    <col min="6667" max="6667" width="7.7109375" style="82" customWidth="1"/>
    <col min="6668" max="6668" width="9.140625" style="82"/>
    <col min="6669" max="6669" width="12.140625" style="82" customWidth="1"/>
    <col min="6670" max="6670" width="22.140625" style="82" customWidth="1"/>
    <col min="6671" max="6912" width="9.140625" style="82"/>
    <col min="6913" max="6913" width="5.42578125" style="82" customWidth="1"/>
    <col min="6914" max="6914" width="7" style="82" customWidth="1"/>
    <col min="6915" max="6915" width="11.42578125" style="82" customWidth="1"/>
    <col min="6916" max="6916" width="11" style="82" customWidth="1"/>
    <col min="6917" max="6917" width="15" style="82" customWidth="1"/>
    <col min="6918" max="6919" width="12.7109375" style="82" customWidth="1"/>
    <col min="6920" max="6920" width="12.85546875" style="82" customWidth="1"/>
    <col min="6921" max="6921" width="11.42578125" style="82" customWidth="1"/>
    <col min="6922" max="6922" width="14.140625" style="82" customWidth="1"/>
    <col min="6923" max="6923" width="7.7109375" style="82" customWidth="1"/>
    <col min="6924" max="6924" width="9.140625" style="82"/>
    <col min="6925" max="6925" width="12.140625" style="82" customWidth="1"/>
    <col min="6926" max="6926" width="22.140625" style="82" customWidth="1"/>
    <col min="6927" max="7168" width="9.140625" style="82"/>
    <col min="7169" max="7169" width="5.42578125" style="82" customWidth="1"/>
    <col min="7170" max="7170" width="7" style="82" customWidth="1"/>
    <col min="7171" max="7171" width="11.42578125" style="82" customWidth="1"/>
    <col min="7172" max="7172" width="11" style="82" customWidth="1"/>
    <col min="7173" max="7173" width="15" style="82" customWidth="1"/>
    <col min="7174" max="7175" width="12.7109375" style="82" customWidth="1"/>
    <col min="7176" max="7176" width="12.85546875" style="82" customWidth="1"/>
    <col min="7177" max="7177" width="11.42578125" style="82" customWidth="1"/>
    <col min="7178" max="7178" width="14.140625" style="82" customWidth="1"/>
    <col min="7179" max="7179" width="7.7109375" style="82" customWidth="1"/>
    <col min="7180" max="7180" width="9.140625" style="82"/>
    <col min="7181" max="7181" width="12.140625" style="82" customWidth="1"/>
    <col min="7182" max="7182" width="22.140625" style="82" customWidth="1"/>
    <col min="7183" max="7424" width="9.140625" style="82"/>
    <col min="7425" max="7425" width="5.42578125" style="82" customWidth="1"/>
    <col min="7426" max="7426" width="7" style="82" customWidth="1"/>
    <col min="7427" max="7427" width="11.42578125" style="82" customWidth="1"/>
    <col min="7428" max="7428" width="11" style="82" customWidth="1"/>
    <col min="7429" max="7429" width="15" style="82" customWidth="1"/>
    <col min="7430" max="7431" width="12.7109375" style="82" customWidth="1"/>
    <col min="7432" max="7432" width="12.85546875" style="82" customWidth="1"/>
    <col min="7433" max="7433" width="11.42578125" style="82" customWidth="1"/>
    <col min="7434" max="7434" width="14.140625" style="82" customWidth="1"/>
    <col min="7435" max="7435" width="7.7109375" style="82" customWidth="1"/>
    <col min="7436" max="7436" width="9.140625" style="82"/>
    <col min="7437" max="7437" width="12.140625" style="82" customWidth="1"/>
    <col min="7438" max="7438" width="22.140625" style="82" customWidth="1"/>
    <col min="7439" max="7680" width="9.140625" style="82"/>
    <col min="7681" max="7681" width="5.42578125" style="82" customWidth="1"/>
    <col min="7682" max="7682" width="7" style="82" customWidth="1"/>
    <col min="7683" max="7683" width="11.42578125" style="82" customWidth="1"/>
    <col min="7684" max="7684" width="11" style="82" customWidth="1"/>
    <col min="7685" max="7685" width="15" style="82" customWidth="1"/>
    <col min="7686" max="7687" width="12.7109375" style="82" customWidth="1"/>
    <col min="7688" max="7688" width="12.85546875" style="82" customWidth="1"/>
    <col min="7689" max="7689" width="11.42578125" style="82" customWidth="1"/>
    <col min="7690" max="7690" width="14.140625" style="82" customWidth="1"/>
    <col min="7691" max="7691" width="7.7109375" style="82" customWidth="1"/>
    <col min="7692" max="7692" width="9.140625" style="82"/>
    <col min="7693" max="7693" width="12.140625" style="82" customWidth="1"/>
    <col min="7694" max="7694" width="22.140625" style="82" customWidth="1"/>
    <col min="7695" max="7936" width="9.140625" style="82"/>
    <col min="7937" max="7937" width="5.42578125" style="82" customWidth="1"/>
    <col min="7938" max="7938" width="7" style="82" customWidth="1"/>
    <col min="7939" max="7939" width="11.42578125" style="82" customWidth="1"/>
    <col min="7940" max="7940" width="11" style="82" customWidth="1"/>
    <col min="7941" max="7941" width="15" style="82" customWidth="1"/>
    <col min="7942" max="7943" width="12.7109375" style="82" customWidth="1"/>
    <col min="7944" max="7944" width="12.85546875" style="82" customWidth="1"/>
    <col min="7945" max="7945" width="11.42578125" style="82" customWidth="1"/>
    <col min="7946" max="7946" width="14.140625" style="82" customWidth="1"/>
    <col min="7947" max="7947" width="7.7109375" style="82" customWidth="1"/>
    <col min="7948" max="7948" width="9.140625" style="82"/>
    <col min="7949" max="7949" width="12.140625" style="82" customWidth="1"/>
    <col min="7950" max="7950" width="22.140625" style="82" customWidth="1"/>
    <col min="7951" max="8192" width="9.140625" style="82"/>
    <col min="8193" max="8193" width="5.42578125" style="82" customWidth="1"/>
    <col min="8194" max="8194" width="7" style="82" customWidth="1"/>
    <col min="8195" max="8195" width="11.42578125" style="82" customWidth="1"/>
    <col min="8196" max="8196" width="11" style="82" customWidth="1"/>
    <col min="8197" max="8197" width="15" style="82" customWidth="1"/>
    <col min="8198" max="8199" width="12.7109375" style="82" customWidth="1"/>
    <col min="8200" max="8200" width="12.85546875" style="82" customWidth="1"/>
    <col min="8201" max="8201" width="11.42578125" style="82" customWidth="1"/>
    <col min="8202" max="8202" width="14.140625" style="82" customWidth="1"/>
    <col min="8203" max="8203" width="7.7109375" style="82" customWidth="1"/>
    <col min="8204" max="8204" width="9.140625" style="82"/>
    <col min="8205" max="8205" width="12.140625" style="82" customWidth="1"/>
    <col min="8206" max="8206" width="22.140625" style="82" customWidth="1"/>
    <col min="8207" max="8448" width="9.140625" style="82"/>
    <col min="8449" max="8449" width="5.42578125" style="82" customWidth="1"/>
    <col min="8450" max="8450" width="7" style="82" customWidth="1"/>
    <col min="8451" max="8451" width="11.42578125" style="82" customWidth="1"/>
    <col min="8452" max="8452" width="11" style="82" customWidth="1"/>
    <col min="8453" max="8453" width="15" style="82" customWidth="1"/>
    <col min="8454" max="8455" width="12.7109375" style="82" customWidth="1"/>
    <col min="8456" max="8456" width="12.85546875" style="82" customWidth="1"/>
    <col min="8457" max="8457" width="11.42578125" style="82" customWidth="1"/>
    <col min="8458" max="8458" width="14.140625" style="82" customWidth="1"/>
    <col min="8459" max="8459" width="7.7109375" style="82" customWidth="1"/>
    <col min="8460" max="8460" width="9.140625" style="82"/>
    <col min="8461" max="8461" width="12.140625" style="82" customWidth="1"/>
    <col min="8462" max="8462" width="22.140625" style="82" customWidth="1"/>
    <col min="8463" max="8704" width="9.140625" style="82"/>
    <col min="8705" max="8705" width="5.42578125" style="82" customWidth="1"/>
    <col min="8706" max="8706" width="7" style="82" customWidth="1"/>
    <col min="8707" max="8707" width="11.42578125" style="82" customWidth="1"/>
    <col min="8708" max="8708" width="11" style="82" customWidth="1"/>
    <col min="8709" max="8709" width="15" style="82" customWidth="1"/>
    <col min="8710" max="8711" width="12.7109375" style="82" customWidth="1"/>
    <col min="8712" max="8712" width="12.85546875" style="82" customWidth="1"/>
    <col min="8713" max="8713" width="11.42578125" style="82" customWidth="1"/>
    <col min="8714" max="8714" width="14.140625" style="82" customWidth="1"/>
    <col min="8715" max="8715" width="7.7109375" style="82" customWidth="1"/>
    <col min="8716" max="8716" width="9.140625" style="82"/>
    <col min="8717" max="8717" width="12.140625" style="82" customWidth="1"/>
    <col min="8718" max="8718" width="22.140625" style="82" customWidth="1"/>
    <col min="8719" max="8960" width="9.140625" style="82"/>
    <col min="8961" max="8961" width="5.42578125" style="82" customWidth="1"/>
    <col min="8962" max="8962" width="7" style="82" customWidth="1"/>
    <col min="8963" max="8963" width="11.42578125" style="82" customWidth="1"/>
    <col min="8964" max="8964" width="11" style="82" customWidth="1"/>
    <col min="8965" max="8965" width="15" style="82" customWidth="1"/>
    <col min="8966" max="8967" width="12.7109375" style="82" customWidth="1"/>
    <col min="8968" max="8968" width="12.85546875" style="82" customWidth="1"/>
    <col min="8969" max="8969" width="11.42578125" style="82" customWidth="1"/>
    <col min="8970" max="8970" width="14.140625" style="82" customWidth="1"/>
    <col min="8971" max="8971" width="7.7109375" style="82" customWidth="1"/>
    <col min="8972" max="8972" width="9.140625" style="82"/>
    <col min="8973" max="8973" width="12.140625" style="82" customWidth="1"/>
    <col min="8974" max="8974" width="22.140625" style="82" customWidth="1"/>
    <col min="8975" max="9216" width="9.140625" style="82"/>
    <col min="9217" max="9217" width="5.42578125" style="82" customWidth="1"/>
    <col min="9218" max="9218" width="7" style="82" customWidth="1"/>
    <col min="9219" max="9219" width="11.42578125" style="82" customWidth="1"/>
    <col min="9220" max="9220" width="11" style="82" customWidth="1"/>
    <col min="9221" max="9221" width="15" style="82" customWidth="1"/>
    <col min="9222" max="9223" width="12.7109375" style="82" customWidth="1"/>
    <col min="9224" max="9224" width="12.85546875" style="82" customWidth="1"/>
    <col min="9225" max="9225" width="11.42578125" style="82" customWidth="1"/>
    <col min="9226" max="9226" width="14.140625" style="82" customWidth="1"/>
    <col min="9227" max="9227" width="7.7109375" style="82" customWidth="1"/>
    <col min="9228" max="9228" width="9.140625" style="82"/>
    <col min="9229" max="9229" width="12.140625" style="82" customWidth="1"/>
    <col min="9230" max="9230" width="22.140625" style="82" customWidth="1"/>
    <col min="9231" max="9472" width="9.140625" style="82"/>
    <col min="9473" max="9473" width="5.42578125" style="82" customWidth="1"/>
    <col min="9474" max="9474" width="7" style="82" customWidth="1"/>
    <col min="9475" max="9475" width="11.42578125" style="82" customWidth="1"/>
    <col min="9476" max="9476" width="11" style="82" customWidth="1"/>
    <col min="9477" max="9477" width="15" style="82" customWidth="1"/>
    <col min="9478" max="9479" width="12.7109375" style="82" customWidth="1"/>
    <col min="9480" max="9480" width="12.85546875" style="82" customWidth="1"/>
    <col min="9481" max="9481" width="11.42578125" style="82" customWidth="1"/>
    <col min="9482" max="9482" width="14.140625" style="82" customWidth="1"/>
    <col min="9483" max="9483" width="7.7109375" style="82" customWidth="1"/>
    <col min="9484" max="9484" width="9.140625" style="82"/>
    <col min="9485" max="9485" width="12.140625" style="82" customWidth="1"/>
    <col min="9486" max="9486" width="22.140625" style="82" customWidth="1"/>
    <col min="9487" max="9728" width="9.140625" style="82"/>
    <col min="9729" max="9729" width="5.42578125" style="82" customWidth="1"/>
    <col min="9730" max="9730" width="7" style="82" customWidth="1"/>
    <col min="9731" max="9731" width="11.42578125" style="82" customWidth="1"/>
    <col min="9732" max="9732" width="11" style="82" customWidth="1"/>
    <col min="9733" max="9733" width="15" style="82" customWidth="1"/>
    <col min="9734" max="9735" width="12.7109375" style="82" customWidth="1"/>
    <col min="9736" max="9736" width="12.85546875" style="82" customWidth="1"/>
    <col min="9737" max="9737" width="11.42578125" style="82" customWidth="1"/>
    <col min="9738" max="9738" width="14.140625" style="82" customWidth="1"/>
    <col min="9739" max="9739" width="7.7109375" style="82" customWidth="1"/>
    <col min="9740" max="9740" width="9.140625" style="82"/>
    <col min="9741" max="9741" width="12.140625" style="82" customWidth="1"/>
    <col min="9742" max="9742" width="22.140625" style="82" customWidth="1"/>
    <col min="9743" max="9984" width="9.140625" style="82"/>
    <col min="9985" max="9985" width="5.42578125" style="82" customWidth="1"/>
    <col min="9986" max="9986" width="7" style="82" customWidth="1"/>
    <col min="9987" max="9987" width="11.42578125" style="82" customWidth="1"/>
    <col min="9988" max="9988" width="11" style="82" customWidth="1"/>
    <col min="9989" max="9989" width="15" style="82" customWidth="1"/>
    <col min="9990" max="9991" width="12.7109375" style="82" customWidth="1"/>
    <col min="9992" max="9992" width="12.85546875" style="82" customWidth="1"/>
    <col min="9993" max="9993" width="11.42578125" style="82" customWidth="1"/>
    <col min="9994" max="9994" width="14.140625" style="82" customWidth="1"/>
    <col min="9995" max="9995" width="7.7109375" style="82" customWidth="1"/>
    <col min="9996" max="9996" width="9.140625" style="82"/>
    <col min="9997" max="9997" width="12.140625" style="82" customWidth="1"/>
    <col min="9998" max="9998" width="22.140625" style="82" customWidth="1"/>
    <col min="9999" max="10240" width="9.140625" style="82"/>
    <col min="10241" max="10241" width="5.42578125" style="82" customWidth="1"/>
    <col min="10242" max="10242" width="7" style="82" customWidth="1"/>
    <col min="10243" max="10243" width="11.42578125" style="82" customWidth="1"/>
    <col min="10244" max="10244" width="11" style="82" customWidth="1"/>
    <col min="10245" max="10245" width="15" style="82" customWidth="1"/>
    <col min="10246" max="10247" width="12.7109375" style="82" customWidth="1"/>
    <col min="10248" max="10248" width="12.85546875" style="82" customWidth="1"/>
    <col min="10249" max="10249" width="11.42578125" style="82" customWidth="1"/>
    <col min="10250" max="10250" width="14.140625" style="82" customWidth="1"/>
    <col min="10251" max="10251" width="7.7109375" style="82" customWidth="1"/>
    <col min="10252" max="10252" width="9.140625" style="82"/>
    <col min="10253" max="10253" width="12.140625" style="82" customWidth="1"/>
    <col min="10254" max="10254" width="22.140625" style="82" customWidth="1"/>
    <col min="10255" max="10496" width="9.140625" style="82"/>
    <col min="10497" max="10497" width="5.42578125" style="82" customWidth="1"/>
    <col min="10498" max="10498" width="7" style="82" customWidth="1"/>
    <col min="10499" max="10499" width="11.42578125" style="82" customWidth="1"/>
    <col min="10500" max="10500" width="11" style="82" customWidth="1"/>
    <col min="10501" max="10501" width="15" style="82" customWidth="1"/>
    <col min="10502" max="10503" width="12.7109375" style="82" customWidth="1"/>
    <col min="10504" max="10504" width="12.85546875" style="82" customWidth="1"/>
    <col min="10505" max="10505" width="11.42578125" style="82" customWidth="1"/>
    <col min="10506" max="10506" width="14.140625" style="82" customWidth="1"/>
    <col min="10507" max="10507" width="7.7109375" style="82" customWidth="1"/>
    <col min="10508" max="10508" width="9.140625" style="82"/>
    <col min="10509" max="10509" width="12.140625" style="82" customWidth="1"/>
    <col min="10510" max="10510" width="22.140625" style="82" customWidth="1"/>
    <col min="10511" max="10752" width="9.140625" style="82"/>
    <col min="10753" max="10753" width="5.42578125" style="82" customWidth="1"/>
    <col min="10754" max="10754" width="7" style="82" customWidth="1"/>
    <col min="10755" max="10755" width="11.42578125" style="82" customWidth="1"/>
    <col min="10756" max="10756" width="11" style="82" customWidth="1"/>
    <col min="10757" max="10757" width="15" style="82" customWidth="1"/>
    <col min="10758" max="10759" width="12.7109375" style="82" customWidth="1"/>
    <col min="10760" max="10760" width="12.85546875" style="82" customWidth="1"/>
    <col min="10761" max="10761" width="11.42578125" style="82" customWidth="1"/>
    <col min="10762" max="10762" width="14.140625" style="82" customWidth="1"/>
    <col min="10763" max="10763" width="7.7109375" style="82" customWidth="1"/>
    <col min="10764" max="10764" width="9.140625" style="82"/>
    <col min="10765" max="10765" width="12.140625" style="82" customWidth="1"/>
    <col min="10766" max="10766" width="22.140625" style="82" customWidth="1"/>
    <col min="10767" max="11008" width="9.140625" style="82"/>
    <col min="11009" max="11009" width="5.42578125" style="82" customWidth="1"/>
    <col min="11010" max="11010" width="7" style="82" customWidth="1"/>
    <col min="11011" max="11011" width="11.42578125" style="82" customWidth="1"/>
    <col min="11012" max="11012" width="11" style="82" customWidth="1"/>
    <col min="11013" max="11013" width="15" style="82" customWidth="1"/>
    <col min="11014" max="11015" width="12.7109375" style="82" customWidth="1"/>
    <col min="11016" max="11016" width="12.85546875" style="82" customWidth="1"/>
    <col min="11017" max="11017" width="11.42578125" style="82" customWidth="1"/>
    <col min="11018" max="11018" width="14.140625" style="82" customWidth="1"/>
    <col min="11019" max="11019" width="7.7109375" style="82" customWidth="1"/>
    <col min="11020" max="11020" width="9.140625" style="82"/>
    <col min="11021" max="11021" width="12.140625" style="82" customWidth="1"/>
    <col min="11022" max="11022" width="22.140625" style="82" customWidth="1"/>
    <col min="11023" max="11264" width="9.140625" style="82"/>
    <col min="11265" max="11265" width="5.42578125" style="82" customWidth="1"/>
    <col min="11266" max="11266" width="7" style="82" customWidth="1"/>
    <col min="11267" max="11267" width="11.42578125" style="82" customWidth="1"/>
    <col min="11268" max="11268" width="11" style="82" customWidth="1"/>
    <col min="11269" max="11269" width="15" style="82" customWidth="1"/>
    <col min="11270" max="11271" width="12.7109375" style="82" customWidth="1"/>
    <col min="11272" max="11272" width="12.85546875" style="82" customWidth="1"/>
    <col min="11273" max="11273" width="11.42578125" style="82" customWidth="1"/>
    <col min="11274" max="11274" width="14.140625" style="82" customWidth="1"/>
    <col min="11275" max="11275" width="7.7109375" style="82" customWidth="1"/>
    <col min="11276" max="11276" width="9.140625" style="82"/>
    <col min="11277" max="11277" width="12.140625" style="82" customWidth="1"/>
    <col min="11278" max="11278" width="22.140625" style="82" customWidth="1"/>
    <col min="11279" max="11520" width="9.140625" style="82"/>
    <col min="11521" max="11521" width="5.42578125" style="82" customWidth="1"/>
    <col min="11522" max="11522" width="7" style="82" customWidth="1"/>
    <col min="11523" max="11523" width="11.42578125" style="82" customWidth="1"/>
    <col min="11524" max="11524" width="11" style="82" customWidth="1"/>
    <col min="11525" max="11525" width="15" style="82" customWidth="1"/>
    <col min="11526" max="11527" width="12.7109375" style="82" customWidth="1"/>
    <col min="11528" max="11528" width="12.85546875" style="82" customWidth="1"/>
    <col min="11529" max="11529" width="11.42578125" style="82" customWidth="1"/>
    <col min="11530" max="11530" width="14.140625" style="82" customWidth="1"/>
    <col min="11531" max="11531" width="7.7109375" style="82" customWidth="1"/>
    <col min="11532" max="11532" width="9.140625" style="82"/>
    <col min="11533" max="11533" width="12.140625" style="82" customWidth="1"/>
    <col min="11534" max="11534" width="22.140625" style="82" customWidth="1"/>
    <col min="11535" max="11776" width="9.140625" style="82"/>
    <col min="11777" max="11777" width="5.42578125" style="82" customWidth="1"/>
    <col min="11778" max="11778" width="7" style="82" customWidth="1"/>
    <col min="11779" max="11779" width="11.42578125" style="82" customWidth="1"/>
    <col min="11780" max="11780" width="11" style="82" customWidth="1"/>
    <col min="11781" max="11781" width="15" style="82" customWidth="1"/>
    <col min="11782" max="11783" width="12.7109375" style="82" customWidth="1"/>
    <col min="11784" max="11784" width="12.85546875" style="82" customWidth="1"/>
    <col min="11785" max="11785" width="11.42578125" style="82" customWidth="1"/>
    <col min="11786" max="11786" width="14.140625" style="82" customWidth="1"/>
    <col min="11787" max="11787" width="7.7109375" style="82" customWidth="1"/>
    <col min="11788" max="11788" width="9.140625" style="82"/>
    <col min="11789" max="11789" width="12.140625" style="82" customWidth="1"/>
    <col min="11790" max="11790" width="22.140625" style="82" customWidth="1"/>
    <col min="11791" max="12032" width="9.140625" style="82"/>
    <col min="12033" max="12033" width="5.42578125" style="82" customWidth="1"/>
    <col min="12034" max="12034" width="7" style="82" customWidth="1"/>
    <col min="12035" max="12035" width="11.42578125" style="82" customWidth="1"/>
    <col min="12036" max="12036" width="11" style="82" customWidth="1"/>
    <col min="12037" max="12037" width="15" style="82" customWidth="1"/>
    <col min="12038" max="12039" width="12.7109375" style="82" customWidth="1"/>
    <col min="12040" max="12040" width="12.85546875" style="82" customWidth="1"/>
    <col min="12041" max="12041" width="11.42578125" style="82" customWidth="1"/>
    <col min="12042" max="12042" width="14.140625" style="82" customWidth="1"/>
    <col min="12043" max="12043" width="7.7109375" style="82" customWidth="1"/>
    <col min="12044" max="12044" width="9.140625" style="82"/>
    <col min="12045" max="12045" width="12.140625" style="82" customWidth="1"/>
    <col min="12046" max="12046" width="22.140625" style="82" customWidth="1"/>
    <col min="12047" max="12288" width="9.140625" style="82"/>
    <col min="12289" max="12289" width="5.42578125" style="82" customWidth="1"/>
    <col min="12290" max="12290" width="7" style="82" customWidth="1"/>
    <col min="12291" max="12291" width="11.42578125" style="82" customWidth="1"/>
    <col min="12292" max="12292" width="11" style="82" customWidth="1"/>
    <col min="12293" max="12293" width="15" style="82" customWidth="1"/>
    <col min="12294" max="12295" width="12.7109375" style="82" customWidth="1"/>
    <col min="12296" max="12296" width="12.85546875" style="82" customWidth="1"/>
    <col min="12297" max="12297" width="11.42578125" style="82" customWidth="1"/>
    <col min="12298" max="12298" width="14.140625" style="82" customWidth="1"/>
    <col min="12299" max="12299" width="7.7109375" style="82" customWidth="1"/>
    <col min="12300" max="12300" width="9.140625" style="82"/>
    <col min="12301" max="12301" width="12.140625" style="82" customWidth="1"/>
    <col min="12302" max="12302" width="22.140625" style="82" customWidth="1"/>
    <col min="12303" max="12544" width="9.140625" style="82"/>
    <col min="12545" max="12545" width="5.42578125" style="82" customWidth="1"/>
    <col min="12546" max="12546" width="7" style="82" customWidth="1"/>
    <col min="12547" max="12547" width="11.42578125" style="82" customWidth="1"/>
    <col min="12548" max="12548" width="11" style="82" customWidth="1"/>
    <col min="12549" max="12549" width="15" style="82" customWidth="1"/>
    <col min="12550" max="12551" width="12.7109375" style="82" customWidth="1"/>
    <col min="12552" max="12552" width="12.85546875" style="82" customWidth="1"/>
    <col min="12553" max="12553" width="11.42578125" style="82" customWidth="1"/>
    <col min="12554" max="12554" width="14.140625" style="82" customWidth="1"/>
    <col min="12555" max="12555" width="7.7109375" style="82" customWidth="1"/>
    <col min="12556" max="12556" width="9.140625" style="82"/>
    <col min="12557" max="12557" width="12.140625" style="82" customWidth="1"/>
    <col min="12558" max="12558" width="22.140625" style="82" customWidth="1"/>
    <col min="12559" max="12800" width="9.140625" style="82"/>
    <col min="12801" max="12801" width="5.42578125" style="82" customWidth="1"/>
    <col min="12802" max="12802" width="7" style="82" customWidth="1"/>
    <col min="12803" max="12803" width="11.42578125" style="82" customWidth="1"/>
    <col min="12804" max="12804" width="11" style="82" customWidth="1"/>
    <col min="12805" max="12805" width="15" style="82" customWidth="1"/>
    <col min="12806" max="12807" width="12.7109375" style="82" customWidth="1"/>
    <col min="12808" max="12808" width="12.85546875" style="82" customWidth="1"/>
    <col min="12809" max="12809" width="11.42578125" style="82" customWidth="1"/>
    <col min="12810" max="12810" width="14.140625" style="82" customWidth="1"/>
    <col min="12811" max="12811" width="7.7109375" style="82" customWidth="1"/>
    <col min="12812" max="12812" width="9.140625" style="82"/>
    <col min="12813" max="12813" width="12.140625" style="82" customWidth="1"/>
    <col min="12814" max="12814" width="22.140625" style="82" customWidth="1"/>
    <col min="12815" max="13056" width="9.140625" style="82"/>
    <col min="13057" max="13057" width="5.42578125" style="82" customWidth="1"/>
    <col min="13058" max="13058" width="7" style="82" customWidth="1"/>
    <col min="13059" max="13059" width="11.42578125" style="82" customWidth="1"/>
    <col min="13060" max="13060" width="11" style="82" customWidth="1"/>
    <col min="13061" max="13061" width="15" style="82" customWidth="1"/>
    <col min="13062" max="13063" width="12.7109375" style="82" customWidth="1"/>
    <col min="13064" max="13064" width="12.85546875" style="82" customWidth="1"/>
    <col min="13065" max="13065" width="11.42578125" style="82" customWidth="1"/>
    <col min="13066" max="13066" width="14.140625" style="82" customWidth="1"/>
    <col min="13067" max="13067" width="7.7109375" style="82" customWidth="1"/>
    <col min="13068" max="13068" width="9.140625" style="82"/>
    <col min="13069" max="13069" width="12.140625" style="82" customWidth="1"/>
    <col min="13070" max="13070" width="22.140625" style="82" customWidth="1"/>
    <col min="13071" max="13312" width="9.140625" style="82"/>
    <col min="13313" max="13313" width="5.42578125" style="82" customWidth="1"/>
    <col min="13314" max="13314" width="7" style="82" customWidth="1"/>
    <col min="13315" max="13315" width="11.42578125" style="82" customWidth="1"/>
    <col min="13316" max="13316" width="11" style="82" customWidth="1"/>
    <col min="13317" max="13317" width="15" style="82" customWidth="1"/>
    <col min="13318" max="13319" width="12.7109375" style="82" customWidth="1"/>
    <col min="13320" max="13320" width="12.85546875" style="82" customWidth="1"/>
    <col min="13321" max="13321" width="11.42578125" style="82" customWidth="1"/>
    <col min="13322" max="13322" width="14.140625" style="82" customWidth="1"/>
    <col min="13323" max="13323" width="7.7109375" style="82" customWidth="1"/>
    <col min="13324" max="13324" width="9.140625" style="82"/>
    <col min="13325" max="13325" width="12.140625" style="82" customWidth="1"/>
    <col min="13326" max="13326" width="22.140625" style="82" customWidth="1"/>
    <col min="13327" max="13568" width="9.140625" style="82"/>
    <col min="13569" max="13569" width="5.42578125" style="82" customWidth="1"/>
    <col min="13570" max="13570" width="7" style="82" customWidth="1"/>
    <col min="13571" max="13571" width="11.42578125" style="82" customWidth="1"/>
    <col min="13572" max="13572" width="11" style="82" customWidth="1"/>
    <col min="13573" max="13573" width="15" style="82" customWidth="1"/>
    <col min="13574" max="13575" width="12.7109375" style="82" customWidth="1"/>
    <col min="13576" max="13576" width="12.85546875" style="82" customWidth="1"/>
    <col min="13577" max="13577" width="11.42578125" style="82" customWidth="1"/>
    <col min="13578" max="13578" width="14.140625" style="82" customWidth="1"/>
    <col min="13579" max="13579" width="7.7109375" style="82" customWidth="1"/>
    <col min="13580" max="13580" width="9.140625" style="82"/>
    <col min="13581" max="13581" width="12.140625" style="82" customWidth="1"/>
    <col min="13582" max="13582" width="22.140625" style="82" customWidth="1"/>
    <col min="13583" max="13824" width="9.140625" style="82"/>
    <col min="13825" max="13825" width="5.42578125" style="82" customWidth="1"/>
    <col min="13826" max="13826" width="7" style="82" customWidth="1"/>
    <col min="13827" max="13827" width="11.42578125" style="82" customWidth="1"/>
    <col min="13828" max="13828" width="11" style="82" customWidth="1"/>
    <col min="13829" max="13829" width="15" style="82" customWidth="1"/>
    <col min="13830" max="13831" width="12.7109375" style="82" customWidth="1"/>
    <col min="13832" max="13832" width="12.85546875" style="82" customWidth="1"/>
    <col min="13833" max="13833" width="11.42578125" style="82" customWidth="1"/>
    <col min="13834" max="13834" width="14.140625" style="82" customWidth="1"/>
    <col min="13835" max="13835" width="7.7109375" style="82" customWidth="1"/>
    <col min="13836" max="13836" width="9.140625" style="82"/>
    <col min="13837" max="13837" width="12.140625" style="82" customWidth="1"/>
    <col min="13838" max="13838" width="22.140625" style="82" customWidth="1"/>
    <col min="13839" max="14080" width="9.140625" style="82"/>
    <col min="14081" max="14081" width="5.42578125" style="82" customWidth="1"/>
    <col min="14082" max="14082" width="7" style="82" customWidth="1"/>
    <col min="14083" max="14083" width="11.42578125" style="82" customWidth="1"/>
    <col min="14084" max="14084" width="11" style="82" customWidth="1"/>
    <col min="14085" max="14085" width="15" style="82" customWidth="1"/>
    <col min="14086" max="14087" width="12.7109375" style="82" customWidth="1"/>
    <col min="14088" max="14088" width="12.85546875" style="82" customWidth="1"/>
    <col min="14089" max="14089" width="11.42578125" style="82" customWidth="1"/>
    <col min="14090" max="14090" width="14.140625" style="82" customWidth="1"/>
    <col min="14091" max="14091" width="7.7109375" style="82" customWidth="1"/>
    <col min="14092" max="14092" width="9.140625" style="82"/>
    <col min="14093" max="14093" width="12.140625" style="82" customWidth="1"/>
    <col min="14094" max="14094" width="22.140625" style="82" customWidth="1"/>
    <col min="14095" max="14336" width="9.140625" style="82"/>
    <col min="14337" max="14337" width="5.42578125" style="82" customWidth="1"/>
    <col min="14338" max="14338" width="7" style="82" customWidth="1"/>
    <col min="14339" max="14339" width="11.42578125" style="82" customWidth="1"/>
    <col min="14340" max="14340" width="11" style="82" customWidth="1"/>
    <col min="14341" max="14341" width="15" style="82" customWidth="1"/>
    <col min="14342" max="14343" width="12.7109375" style="82" customWidth="1"/>
    <col min="14344" max="14344" width="12.85546875" style="82" customWidth="1"/>
    <col min="14345" max="14345" width="11.42578125" style="82" customWidth="1"/>
    <col min="14346" max="14346" width="14.140625" style="82" customWidth="1"/>
    <col min="14347" max="14347" width="7.7109375" style="82" customWidth="1"/>
    <col min="14348" max="14348" width="9.140625" style="82"/>
    <col min="14349" max="14349" width="12.140625" style="82" customWidth="1"/>
    <col min="14350" max="14350" width="22.140625" style="82" customWidth="1"/>
    <col min="14351" max="14592" width="9.140625" style="82"/>
    <col min="14593" max="14593" width="5.42578125" style="82" customWidth="1"/>
    <col min="14594" max="14594" width="7" style="82" customWidth="1"/>
    <col min="14595" max="14595" width="11.42578125" style="82" customWidth="1"/>
    <col min="14596" max="14596" width="11" style="82" customWidth="1"/>
    <col min="14597" max="14597" width="15" style="82" customWidth="1"/>
    <col min="14598" max="14599" width="12.7109375" style="82" customWidth="1"/>
    <col min="14600" max="14600" width="12.85546875" style="82" customWidth="1"/>
    <col min="14601" max="14601" width="11.42578125" style="82" customWidth="1"/>
    <col min="14602" max="14602" width="14.140625" style="82" customWidth="1"/>
    <col min="14603" max="14603" width="7.7109375" style="82" customWidth="1"/>
    <col min="14604" max="14604" width="9.140625" style="82"/>
    <col min="14605" max="14605" width="12.140625" style="82" customWidth="1"/>
    <col min="14606" max="14606" width="22.140625" style="82" customWidth="1"/>
    <col min="14607" max="14848" width="9.140625" style="82"/>
    <col min="14849" max="14849" width="5.42578125" style="82" customWidth="1"/>
    <col min="14850" max="14850" width="7" style="82" customWidth="1"/>
    <col min="14851" max="14851" width="11.42578125" style="82" customWidth="1"/>
    <col min="14852" max="14852" width="11" style="82" customWidth="1"/>
    <col min="14853" max="14853" width="15" style="82" customWidth="1"/>
    <col min="14854" max="14855" width="12.7109375" style="82" customWidth="1"/>
    <col min="14856" max="14856" width="12.85546875" style="82" customWidth="1"/>
    <col min="14857" max="14857" width="11.42578125" style="82" customWidth="1"/>
    <col min="14858" max="14858" width="14.140625" style="82" customWidth="1"/>
    <col min="14859" max="14859" width="7.7109375" style="82" customWidth="1"/>
    <col min="14860" max="14860" width="9.140625" style="82"/>
    <col min="14861" max="14861" width="12.140625" style="82" customWidth="1"/>
    <col min="14862" max="14862" width="22.140625" style="82" customWidth="1"/>
    <col min="14863" max="15104" width="9.140625" style="82"/>
    <col min="15105" max="15105" width="5.42578125" style="82" customWidth="1"/>
    <col min="15106" max="15106" width="7" style="82" customWidth="1"/>
    <col min="15107" max="15107" width="11.42578125" style="82" customWidth="1"/>
    <col min="15108" max="15108" width="11" style="82" customWidth="1"/>
    <col min="15109" max="15109" width="15" style="82" customWidth="1"/>
    <col min="15110" max="15111" width="12.7109375" style="82" customWidth="1"/>
    <col min="15112" max="15112" width="12.85546875" style="82" customWidth="1"/>
    <col min="15113" max="15113" width="11.42578125" style="82" customWidth="1"/>
    <col min="15114" max="15114" width="14.140625" style="82" customWidth="1"/>
    <col min="15115" max="15115" width="7.7109375" style="82" customWidth="1"/>
    <col min="15116" max="15116" width="9.140625" style="82"/>
    <col min="15117" max="15117" width="12.140625" style="82" customWidth="1"/>
    <col min="15118" max="15118" width="22.140625" style="82" customWidth="1"/>
    <col min="15119" max="15360" width="9.140625" style="82"/>
    <col min="15361" max="15361" width="5.42578125" style="82" customWidth="1"/>
    <col min="15362" max="15362" width="7" style="82" customWidth="1"/>
    <col min="15363" max="15363" width="11.42578125" style="82" customWidth="1"/>
    <col min="15364" max="15364" width="11" style="82" customWidth="1"/>
    <col min="15365" max="15365" width="15" style="82" customWidth="1"/>
    <col min="15366" max="15367" width="12.7109375" style="82" customWidth="1"/>
    <col min="15368" max="15368" width="12.85546875" style="82" customWidth="1"/>
    <col min="15369" max="15369" width="11.42578125" style="82" customWidth="1"/>
    <col min="15370" max="15370" width="14.140625" style="82" customWidth="1"/>
    <col min="15371" max="15371" width="7.7109375" style="82" customWidth="1"/>
    <col min="15372" max="15372" width="9.140625" style="82"/>
    <col min="15373" max="15373" width="12.140625" style="82" customWidth="1"/>
    <col min="15374" max="15374" width="22.140625" style="82" customWidth="1"/>
    <col min="15375" max="15616" width="9.140625" style="82"/>
    <col min="15617" max="15617" width="5.42578125" style="82" customWidth="1"/>
    <col min="15618" max="15618" width="7" style="82" customWidth="1"/>
    <col min="15619" max="15619" width="11.42578125" style="82" customWidth="1"/>
    <col min="15620" max="15620" width="11" style="82" customWidth="1"/>
    <col min="15621" max="15621" width="15" style="82" customWidth="1"/>
    <col min="15622" max="15623" width="12.7109375" style="82" customWidth="1"/>
    <col min="15624" max="15624" width="12.85546875" style="82" customWidth="1"/>
    <col min="15625" max="15625" width="11.42578125" style="82" customWidth="1"/>
    <col min="15626" max="15626" width="14.140625" style="82" customWidth="1"/>
    <col min="15627" max="15627" width="7.7109375" style="82" customWidth="1"/>
    <col min="15628" max="15628" width="9.140625" style="82"/>
    <col min="15629" max="15629" width="12.140625" style="82" customWidth="1"/>
    <col min="15630" max="15630" width="22.140625" style="82" customWidth="1"/>
    <col min="15631" max="15872" width="9.140625" style="82"/>
    <col min="15873" max="15873" width="5.42578125" style="82" customWidth="1"/>
    <col min="15874" max="15874" width="7" style="82" customWidth="1"/>
    <col min="15875" max="15875" width="11.42578125" style="82" customWidth="1"/>
    <col min="15876" max="15876" width="11" style="82" customWidth="1"/>
    <col min="15877" max="15877" width="15" style="82" customWidth="1"/>
    <col min="15878" max="15879" width="12.7109375" style="82" customWidth="1"/>
    <col min="15880" max="15880" width="12.85546875" style="82" customWidth="1"/>
    <col min="15881" max="15881" width="11.42578125" style="82" customWidth="1"/>
    <col min="15882" max="15882" width="14.140625" style="82" customWidth="1"/>
    <col min="15883" max="15883" width="7.7109375" style="82" customWidth="1"/>
    <col min="15884" max="15884" width="9.140625" style="82"/>
    <col min="15885" max="15885" width="12.140625" style="82" customWidth="1"/>
    <col min="15886" max="15886" width="22.140625" style="82" customWidth="1"/>
    <col min="15887" max="16128" width="9.140625" style="82"/>
    <col min="16129" max="16129" width="5.42578125" style="82" customWidth="1"/>
    <col min="16130" max="16130" width="7" style="82" customWidth="1"/>
    <col min="16131" max="16131" width="11.42578125" style="82" customWidth="1"/>
    <col min="16132" max="16132" width="11" style="82" customWidth="1"/>
    <col min="16133" max="16133" width="15" style="82" customWidth="1"/>
    <col min="16134" max="16135" width="12.7109375" style="82" customWidth="1"/>
    <col min="16136" max="16136" width="12.85546875" style="82" customWidth="1"/>
    <col min="16137" max="16137" width="11.42578125" style="82" customWidth="1"/>
    <col min="16138" max="16138" width="14.140625" style="82" customWidth="1"/>
    <col min="16139" max="16139" width="7.7109375" style="82" customWidth="1"/>
    <col min="16140" max="16140" width="9.140625" style="82"/>
    <col min="16141" max="16141" width="12.140625" style="82" customWidth="1"/>
    <col min="16142" max="16142" width="22.140625" style="82" customWidth="1"/>
    <col min="16143" max="16384" width="9.140625" style="82"/>
  </cols>
  <sheetData>
    <row r="1" spans="2:14" ht="14.25" customHeight="1" thickBot="1" x14ac:dyDescent="0.25"/>
    <row r="2" spans="2:14" ht="13.5" thickBot="1" x14ac:dyDescent="0.25">
      <c r="B2" s="101" t="s">
        <v>59</v>
      </c>
      <c r="C2" s="103" t="s">
        <v>111</v>
      </c>
      <c r="D2" s="190" t="s">
        <v>236</v>
      </c>
      <c r="E2" s="190"/>
      <c r="F2" s="190" t="s">
        <v>237</v>
      </c>
      <c r="G2" s="190"/>
      <c r="H2" s="190" t="s">
        <v>238</v>
      </c>
      <c r="I2" s="190"/>
      <c r="J2" s="190" t="s">
        <v>239</v>
      </c>
      <c r="K2" s="190"/>
      <c r="L2" s="190" t="s">
        <v>240</v>
      </c>
      <c r="M2" s="191"/>
      <c r="N2" s="104" t="s">
        <v>241</v>
      </c>
    </row>
    <row r="3" spans="2:14" x14ac:dyDescent="0.2">
      <c r="B3" s="183" t="s">
        <v>57</v>
      </c>
      <c r="C3" s="105" t="s">
        <v>112</v>
      </c>
      <c r="D3" s="157" t="s">
        <v>113</v>
      </c>
      <c r="E3" s="161"/>
      <c r="F3" s="188" t="s">
        <v>114</v>
      </c>
      <c r="G3" s="189"/>
      <c r="H3" s="157" t="s">
        <v>179</v>
      </c>
      <c r="I3" s="161"/>
      <c r="J3" s="157" t="s">
        <v>60</v>
      </c>
      <c r="K3" s="158"/>
      <c r="L3" s="157" t="s">
        <v>115</v>
      </c>
      <c r="M3" s="158"/>
      <c r="N3" s="83" t="s">
        <v>116</v>
      </c>
    </row>
    <row r="4" spans="2:14" x14ac:dyDescent="0.2">
      <c r="B4" s="147"/>
      <c r="C4" s="106"/>
      <c r="D4" s="159" t="s">
        <v>117</v>
      </c>
      <c r="E4" s="160"/>
      <c r="F4" s="159" t="s">
        <v>118</v>
      </c>
      <c r="G4" s="160"/>
      <c r="H4" s="159" t="s">
        <v>119</v>
      </c>
      <c r="I4" s="160"/>
      <c r="J4" s="159" t="s">
        <v>118</v>
      </c>
      <c r="K4" s="160"/>
      <c r="L4" s="159" t="s">
        <v>117</v>
      </c>
      <c r="M4" s="160"/>
      <c r="N4" s="84" t="s">
        <v>119</v>
      </c>
    </row>
    <row r="5" spans="2:14" ht="21.75" customHeight="1" thickBot="1" x14ac:dyDescent="0.25">
      <c r="B5" s="187"/>
      <c r="C5" s="107" t="s">
        <v>120</v>
      </c>
      <c r="D5" s="163" t="s">
        <v>27</v>
      </c>
      <c r="E5" s="164"/>
      <c r="F5" s="163" t="s">
        <v>103</v>
      </c>
      <c r="G5" s="164"/>
      <c r="H5" s="163" t="s">
        <v>61</v>
      </c>
      <c r="I5" s="164"/>
      <c r="J5" s="163" t="s">
        <v>103</v>
      </c>
      <c r="K5" s="164"/>
      <c r="L5" s="163" t="s">
        <v>90</v>
      </c>
      <c r="M5" s="165"/>
      <c r="N5" s="85" t="s">
        <v>61</v>
      </c>
    </row>
    <row r="6" spans="2:14" ht="36.75" customHeight="1" x14ac:dyDescent="0.2">
      <c r="B6" s="183" t="s">
        <v>56</v>
      </c>
      <c r="C6" s="105" t="s">
        <v>121</v>
      </c>
      <c r="D6" s="150" t="s">
        <v>258</v>
      </c>
      <c r="E6" s="150"/>
      <c r="F6" s="149" t="s">
        <v>123</v>
      </c>
      <c r="G6" s="149"/>
      <c r="H6" s="150" t="s">
        <v>256</v>
      </c>
      <c r="I6" s="150"/>
      <c r="J6" s="149" t="s">
        <v>255</v>
      </c>
      <c r="K6" s="149"/>
      <c r="L6" s="150" t="s">
        <v>254</v>
      </c>
      <c r="M6" s="150"/>
      <c r="N6" s="132" t="s">
        <v>149</v>
      </c>
    </row>
    <row r="7" spans="2:14" ht="30" customHeight="1" x14ac:dyDescent="0.2">
      <c r="B7" s="184"/>
      <c r="C7" s="106" t="s">
        <v>124</v>
      </c>
      <c r="D7" s="140" t="s">
        <v>125</v>
      </c>
      <c r="E7" s="151"/>
      <c r="F7" s="139" t="s">
        <v>126</v>
      </c>
      <c r="G7" s="139"/>
      <c r="H7" s="180" t="s">
        <v>129</v>
      </c>
      <c r="I7" s="180"/>
      <c r="J7" s="139" t="s">
        <v>128</v>
      </c>
      <c r="K7" s="139"/>
      <c r="L7" s="180" t="s">
        <v>127</v>
      </c>
      <c r="M7" s="180"/>
      <c r="N7" s="86" t="s">
        <v>130</v>
      </c>
    </row>
    <row r="8" spans="2:14" ht="27.75" customHeight="1" x14ac:dyDescent="0.2">
      <c r="B8" s="184"/>
      <c r="C8" s="106" t="s">
        <v>131</v>
      </c>
      <c r="D8" s="178" t="s">
        <v>38</v>
      </c>
      <c r="E8" s="178"/>
      <c r="F8" s="153" t="s">
        <v>99</v>
      </c>
      <c r="G8" s="139"/>
      <c r="H8" s="176" t="s">
        <v>132</v>
      </c>
      <c r="I8" s="177"/>
      <c r="J8" s="174"/>
      <c r="K8" s="175"/>
      <c r="L8" s="180"/>
      <c r="M8" s="186"/>
      <c r="N8" s="84"/>
    </row>
    <row r="9" spans="2:14" ht="25.5" customHeight="1" x14ac:dyDescent="0.2">
      <c r="B9" s="184"/>
      <c r="C9" s="106" t="s">
        <v>133</v>
      </c>
      <c r="D9" s="178"/>
      <c r="E9" s="178"/>
      <c r="F9" s="179"/>
      <c r="G9" s="172"/>
      <c r="H9" s="181"/>
      <c r="I9" s="182"/>
      <c r="J9" s="174"/>
      <c r="K9" s="175"/>
      <c r="L9" s="180"/>
      <c r="M9" s="180"/>
      <c r="N9" s="84"/>
    </row>
    <row r="10" spans="2:14" ht="25.5" customHeight="1" x14ac:dyDescent="0.2">
      <c r="B10" s="184"/>
      <c r="C10" s="106" t="s">
        <v>134</v>
      </c>
      <c r="D10" s="172"/>
      <c r="E10" s="172"/>
      <c r="F10" s="153" t="s">
        <v>135</v>
      </c>
      <c r="G10" s="139"/>
      <c r="H10" s="176" t="s">
        <v>138</v>
      </c>
      <c r="I10" s="177"/>
      <c r="J10" s="174" t="s">
        <v>137</v>
      </c>
      <c r="K10" s="175"/>
      <c r="L10" s="173" t="s">
        <v>136</v>
      </c>
      <c r="M10" s="173"/>
      <c r="N10" s="89"/>
    </row>
    <row r="11" spans="2:14" ht="21" customHeight="1" x14ac:dyDescent="0.2">
      <c r="B11" s="184"/>
      <c r="C11" s="106" t="s">
        <v>139</v>
      </c>
      <c r="D11" s="180" t="s">
        <v>250</v>
      </c>
      <c r="E11" s="180"/>
      <c r="F11" s="139"/>
      <c r="G11" s="139"/>
      <c r="H11" s="139"/>
      <c r="I11" s="139"/>
      <c r="J11" s="139"/>
      <c r="K11" s="139"/>
      <c r="L11" s="139"/>
      <c r="M11" s="152"/>
      <c r="N11" s="90" t="s">
        <v>104</v>
      </c>
    </row>
    <row r="12" spans="2:14" ht="25.5" customHeight="1" thickBot="1" x14ac:dyDescent="0.25">
      <c r="B12" s="185"/>
      <c r="C12" s="108" t="s">
        <v>120</v>
      </c>
      <c r="D12" s="142" t="s">
        <v>140</v>
      </c>
      <c r="E12" s="142"/>
      <c r="F12" s="142" t="s">
        <v>141</v>
      </c>
      <c r="G12" s="142"/>
      <c r="H12" s="142" t="s">
        <v>142</v>
      </c>
      <c r="I12" s="142"/>
      <c r="J12" s="142" t="s">
        <v>143</v>
      </c>
      <c r="K12" s="142"/>
      <c r="L12" s="142" t="s">
        <v>142</v>
      </c>
      <c r="M12" s="142"/>
      <c r="N12" s="91" t="s">
        <v>140</v>
      </c>
    </row>
    <row r="13" spans="2:14" ht="15.75" customHeight="1" x14ac:dyDescent="0.2">
      <c r="B13" s="137"/>
      <c r="C13" s="105" t="s">
        <v>162</v>
      </c>
      <c r="D13" s="168"/>
      <c r="E13" s="169"/>
      <c r="F13" s="168"/>
      <c r="G13" s="169"/>
      <c r="H13" s="168"/>
      <c r="I13" s="169"/>
      <c r="J13" s="168"/>
      <c r="K13" s="169"/>
      <c r="L13" s="168"/>
      <c r="M13" s="169"/>
      <c r="N13" s="92"/>
    </row>
    <row r="14" spans="2:14" ht="13.5" thickBot="1" x14ac:dyDescent="0.25">
      <c r="B14" s="138"/>
      <c r="C14" s="109"/>
      <c r="D14" s="170"/>
      <c r="E14" s="171"/>
      <c r="F14" s="170"/>
      <c r="G14" s="171"/>
      <c r="H14" s="170"/>
      <c r="I14" s="171"/>
      <c r="J14" s="170"/>
      <c r="K14" s="171"/>
      <c r="L14" s="170"/>
      <c r="M14" s="171"/>
      <c r="N14" s="93"/>
    </row>
    <row r="15" spans="2:14" ht="17.25" customHeight="1" thickBot="1" x14ac:dyDescent="0.25">
      <c r="B15" s="102" t="s">
        <v>58</v>
      </c>
      <c r="C15" s="110" t="s">
        <v>111</v>
      </c>
      <c r="D15" s="166" t="s">
        <v>242</v>
      </c>
      <c r="E15" s="166"/>
      <c r="F15" s="166" t="s">
        <v>243</v>
      </c>
      <c r="G15" s="166"/>
      <c r="H15" s="166" t="s">
        <v>244</v>
      </c>
      <c r="I15" s="166"/>
      <c r="J15" s="166" t="s">
        <v>245</v>
      </c>
      <c r="K15" s="166"/>
      <c r="L15" s="166" t="s">
        <v>246</v>
      </c>
      <c r="M15" s="167"/>
      <c r="N15" s="111" t="s">
        <v>247</v>
      </c>
    </row>
    <row r="16" spans="2:14" ht="22.5" customHeight="1" x14ac:dyDescent="0.2">
      <c r="B16" s="137" t="s">
        <v>57</v>
      </c>
      <c r="C16" s="105" t="s">
        <v>112</v>
      </c>
      <c r="D16" s="157" t="s">
        <v>144</v>
      </c>
      <c r="E16" s="161"/>
      <c r="F16" s="157" t="s">
        <v>113</v>
      </c>
      <c r="G16" s="161"/>
      <c r="H16" s="157" t="s">
        <v>115</v>
      </c>
      <c r="I16" s="158"/>
      <c r="J16" s="157" t="s">
        <v>145</v>
      </c>
      <c r="K16" s="161"/>
      <c r="L16" s="157" t="s">
        <v>43</v>
      </c>
      <c r="M16" s="158"/>
      <c r="N16" s="94" t="s">
        <v>146</v>
      </c>
    </row>
    <row r="17" spans="2:17" ht="27" customHeight="1" x14ac:dyDescent="0.2">
      <c r="B17" s="147"/>
      <c r="C17" s="106"/>
      <c r="D17" s="159" t="s">
        <v>117</v>
      </c>
      <c r="E17" s="160"/>
      <c r="F17" s="159" t="s">
        <v>118</v>
      </c>
      <c r="G17" s="160"/>
      <c r="H17" s="159" t="s">
        <v>117</v>
      </c>
      <c r="I17" s="160"/>
      <c r="J17" s="159" t="s">
        <v>119</v>
      </c>
      <c r="K17" s="160"/>
      <c r="L17" s="159" t="s">
        <v>118</v>
      </c>
      <c r="M17" s="160"/>
      <c r="N17" s="95" t="s">
        <v>117</v>
      </c>
      <c r="Q17" s="82" t="s">
        <v>25</v>
      </c>
    </row>
    <row r="18" spans="2:17" ht="25.5" customHeight="1" thickBot="1" x14ac:dyDescent="0.25">
      <c r="B18" s="138"/>
      <c r="C18" s="107" t="s">
        <v>120</v>
      </c>
      <c r="D18" s="162" t="s">
        <v>103</v>
      </c>
      <c r="E18" s="162"/>
      <c r="F18" s="163" t="s">
        <v>27</v>
      </c>
      <c r="G18" s="164"/>
      <c r="H18" s="162" t="s">
        <v>90</v>
      </c>
      <c r="I18" s="162"/>
      <c r="J18" s="162" t="s">
        <v>103</v>
      </c>
      <c r="K18" s="162"/>
      <c r="L18" s="163" t="s">
        <v>61</v>
      </c>
      <c r="M18" s="165"/>
      <c r="N18" s="85" t="s">
        <v>27</v>
      </c>
    </row>
    <row r="19" spans="2:17" ht="31.5" customHeight="1" x14ac:dyDescent="0.2">
      <c r="B19" s="137" t="s">
        <v>56</v>
      </c>
      <c r="C19" s="105" t="s">
        <v>121</v>
      </c>
      <c r="D19" s="148" t="s">
        <v>147</v>
      </c>
      <c r="E19" s="148"/>
      <c r="F19" s="149" t="s">
        <v>251</v>
      </c>
      <c r="G19" s="149"/>
      <c r="H19" s="149" t="s">
        <v>148</v>
      </c>
      <c r="I19" s="149"/>
      <c r="J19" s="148" t="s">
        <v>252</v>
      </c>
      <c r="K19" s="148"/>
      <c r="L19" s="150" t="s">
        <v>122</v>
      </c>
      <c r="M19" s="150"/>
      <c r="N19" s="94" t="s">
        <v>253</v>
      </c>
    </row>
    <row r="20" spans="2:17" ht="25.5" customHeight="1" x14ac:dyDescent="0.2">
      <c r="B20" s="147"/>
      <c r="C20" s="106" t="s">
        <v>124</v>
      </c>
      <c r="D20" s="139" t="s">
        <v>127</v>
      </c>
      <c r="E20" s="139"/>
      <c r="F20" s="139" t="s">
        <v>150</v>
      </c>
      <c r="G20" s="139"/>
      <c r="H20" s="140" t="s">
        <v>151</v>
      </c>
      <c r="I20" s="151"/>
      <c r="J20" s="139" t="s">
        <v>152</v>
      </c>
      <c r="K20" s="139"/>
      <c r="L20" s="140" t="s">
        <v>125</v>
      </c>
      <c r="M20" s="151"/>
      <c r="N20" s="90" t="s">
        <v>102</v>
      </c>
    </row>
    <row r="21" spans="2:17" ht="21.75" customHeight="1" x14ac:dyDescent="0.2">
      <c r="B21" s="147"/>
      <c r="C21" s="106" t="s">
        <v>131</v>
      </c>
      <c r="D21" s="139" t="s">
        <v>153</v>
      </c>
      <c r="E21" s="144"/>
      <c r="F21" s="139" t="s">
        <v>99</v>
      </c>
      <c r="G21" s="144"/>
      <c r="H21" s="139" t="s">
        <v>60</v>
      </c>
      <c r="I21" s="139"/>
      <c r="J21" s="139" t="s">
        <v>154</v>
      </c>
      <c r="K21" s="139"/>
      <c r="L21" s="153" t="s">
        <v>155</v>
      </c>
      <c r="M21" s="152"/>
      <c r="N21" s="96" t="s">
        <v>132</v>
      </c>
    </row>
    <row r="22" spans="2:17" ht="26.25" customHeight="1" x14ac:dyDescent="0.2">
      <c r="B22" s="147"/>
      <c r="C22" s="106" t="s">
        <v>134</v>
      </c>
      <c r="D22" s="139" t="s">
        <v>101</v>
      </c>
      <c r="E22" s="139"/>
      <c r="F22" s="145"/>
      <c r="G22" s="145"/>
      <c r="H22" s="139"/>
      <c r="I22" s="139"/>
      <c r="J22" s="139" t="s">
        <v>156</v>
      </c>
      <c r="K22" s="139"/>
      <c r="L22" s="140" t="s">
        <v>157</v>
      </c>
      <c r="M22" s="141"/>
      <c r="N22" s="84" t="s">
        <v>158</v>
      </c>
      <c r="P22" s="82" t="s">
        <v>25</v>
      </c>
    </row>
    <row r="23" spans="2:17" ht="21.75" customHeight="1" x14ac:dyDescent="0.2">
      <c r="B23" s="147"/>
      <c r="C23" s="106" t="s">
        <v>133</v>
      </c>
      <c r="D23" s="152"/>
      <c r="E23" s="153"/>
      <c r="F23" s="154" t="s">
        <v>159</v>
      </c>
      <c r="G23" s="155"/>
      <c r="H23" s="152"/>
      <c r="I23" s="153"/>
      <c r="J23" s="152"/>
      <c r="K23" s="153"/>
      <c r="L23" s="152"/>
      <c r="M23" s="156"/>
      <c r="N23" s="84"/>
    </row>
    <row r="24" spans="2:17" ht="24" customHeight="1" x14ac:dyDescent="0.2">
      <c r="B24" s="147"/>
      <c r="C24" s="106" t="s">
        <v>139</v>
      </c>
      <c r="D24" s="144"/>
      <c r="E24" s="144"/>
      <c r="F24" s="139"/>
      <c r="G24" s="139"/>
      <c r="H24" s="144" t="s">
        <v>160</v>
      </c>
      <c r="I24" s="144"/>
      <c r="J24" s="145"/>
      <c r="K24" s="145"/>
      <c r="L24" s="144"/>
      <c r="M24" s="146"/>
      <c r="N24" s="84"/>
    </row>
    <row r="25" spans="2:17" ht="27" customHeight="1" thickBot="1" x14ac:dyDescent="0.25">
      <c r="B25" s="147"/>
      <c r="C25" s="108" t="s">
        <v>120</v>
      </c>
      <c r="D25" s="142" t="s">
        <v>140</v>
      </c>
      <c r="E25" s="142"/>
      <c r="F25" s="142" t="s">
        <v>100</v>
      </c>
      <c r="G25" s="142"/>
      <c r="H25" s="142" t="s">
        <v>142</v>
      </c>
      <c r="I25" s="142"/>
      <c r="J25" s="142" t="s">
        <v>161</v>
      </c>
      <c r="K25" s="142"/>
      <c r="L25" s="142" t="s">
        <v>143</v>
      </c>
      <c r="M25" s="143"/>
      <c r="N25" s="97" t="s">
        <v>142</v>
      </c>
    </row>
    <row r="26" spans="2:17" x14ac:dyDescent="0.2">
      <c r="B26" s="137"/>
      <c r="C26" s="112" t="s">
        <v>162</v>
      </c>
      <c r="D26" s="133"/>
      <c r="E26" s="134"/>
      <c r="F26" s="133" t="s">
        <v>25</v>
      </c>
      <c r="G26" s="134"/>
      <c r="H26" s="133"/>
      <c r="I26" s="134"/>
      <c r="J26" s="133"/>
      <c r="K26" s="134"/>
      <c r="L26" s="133"/>
      <c r="M26" s="134"/>
      <c r="N26" s="98"/>
    </row>
    <row r="27" spans="2:17" ht="13.5" thickBot="1" x14ac:dyDescent="0.25">
      <c r="B27" s="138"/>
      <c r="C27" s="113"/>
      <c r="D27" s="135"/>
      <c r="E27" s="136"/>
      <c r="F27" s="135"/>
      <c r="G27" s="136"/>
      <c r="H27" s="135"/>
      <c r="I27" s="136"/>
      <c r="J27" s="135"/>
      <c r="K27" s="136"/>
      <c r="L27" s="135"/>
      <c r="M27" s="136"/>
      <c r="N27" s="99"/>
    </row>
    <row r="28" spans="2:17" x14ac:dyDescent="0.2">
      <c r="G28" s="82" t="s">
        <v>25</v>
      </c>
      <c r="J28" s="82" t="s">
        <v>25</v>
      </c>
    </row>
  </sheetData>
  <mergeCells count="136">
    <mergeCell ref="D2:E2"/>
    <mergeCell ref="F2:G2"/>
    <mergeCell ref="H2:I2"/>
    <mergeCell ref="J2:K2"/>
    <mergeCell ref="L2:M2"/>
    <mergeCell ref="L3:M3"/>
    <mergeCell ref="D4:E4"/>
    <mergeCell ref="F4:G4"/>
    <mergeCell ref="H4:I4"/>
    <mergeCell ref="J4:K4"/>
    <mergeCell ref="L4:M4"/>
    <mergeCell ref="B3:B5"/>
    <mergeCell ref="D3:E3"/>
    <mergeCell ref="F3:G3"/>
    <mergeCell ref="H3:I3"/>
    <mergeCell ref="J3:K3"/>
    <mergeCell ref="D5:E5"/>
    <mergeCell ref="F5:G5"/>
    <mergeCell ref="H5:I5"/>
    <mergeCell ref="J5:K5"/>
    <mergeCell ref="H8:I8"/>
    <mergeCell ref="D9:E9"/>
    <mergeCell ref="F9:G9"/>
    <mergeCell ref="L9:M9"/>
    <mergeCell ref="J9:K9"/>
    <mergeCell ref="H9:I9"/>
    <mergeCell ref="L5:M5"/>
    <mergeCell ref="B6:B12"/>
    <mergeCell ref="D6:E6"/>
    <mergeCell ref="F6:G6"/>
    <mergeCell ref="L6:M6"/>
    <mergeCell ref="J6:K6"/>
    <mergeCell ref="H6:I6"/>
    <mergeCell ref="D7:E7"/>
    <mergeCell ref="F7:G7"/>
    <mergeCell ref="L7:M7"/>
    <mergeCell ref="J7:K7"/>
    <mergeCell ref="H7:I7"/>
    <mergeCell ref="D8:E8"/>
    <mergeCell ref="F8:G8"/>
    <mergeCell ref="L8:M8"/>
    <mergeCell ref="J8:K8"/>
    <mergeCell ref="L12:M12"/>
    <mergeCell ref="D11:E11"/>
    <mergeCell ref="F11:G11"/>
    <mergeCell ref="H11:I11"/>
    <mergeCell ref="J11:K11"/>
    <mergeCell ref="L11:M11"/>
    <mergeCell ref="D10:E10"/>
    <mergeCell ref="F10:G10"/>
    <mergeCell ref="L10:M10"/>
    <mergeCell ref="J10:K10"/>
    <mergeCell ref="H10:I10"/>
    <mergeCell ref="B13:B14"/>
    <mergeCell ref="D13:E13"/>
    <mergeCell ref="F13:G13"/>
    <mergeCell ref="H13:I13"/>
    <mergeCell ref="J13:K13"/>
    <mergeCell ref="D12:E12"/>
    <mergeCell ref="F12:G12"/>
    <mergeCell ref="H12:I12"/>
    <mergeCell ref="J12:K12"/>
    <mergeCell ref="D15:E15"/>
    <mergeCell ref="F15:G15"/>
    <mergeCell ref="H15:I15"/>
    <mergeCell ref="J15:K15"/>
    <mergeCell ref="L15:M15"/>
    <mergeCell ref="L13:M13"/>
    <mergeCell ref="D14:E14"/>
    <mergeCell ref="F14:G14"/>
    <mergeCell ref="H14:I14"/>
    <mergeCell ref="J14:K14"/>
    <mergeCell ref="L14:M14"/>
    <mergeCell ref="L16:M16"/>
    <mergeCell ref="D17:E17"/>
    <mergeCell ref="F17:G17"/>
    <mergeCell ref="H17:I17"/>
    <mergeCell ref="J17:K17"/>
    <mergeCell ref="L17:M17"/>
    <mergeCell ref="B16:B18"/>
    <mergeCell ref="D16:E16"/>
    <mergeCell ref="F16:G16"/>
    <mergeCell ref="H16:I16"/>
    <mergeCell ref="J16:K16"/>
    <mergeCell ref="D18:E18"/>
    <mergeCell ref="F18:G18"/>
    <mergeCell ref="H18:I18"/>
    <mergeCell ref="J18:K18"/>
    <mergeCell ref="L18:M18"/>
    <mergeCell ref="B19:B25"/>
    <mergeCell ref="D19:E19"/>
    <mergeCell ref="F19:G19"/>
    <mergeCell ref="H19:I19"/>
    <mergeCell ref="J19:K19"/>
    <mergeCell ref="L19:M19"/>
    <mergeCell ref="D20:E20"/>
    <mergeCell ref="F20:G20"/>
    <mergeCell ref="H20:I20"/>
    <mergeCell ref="J20:K20"/>
    <mergeCell ref="L20:M20"/>
    <mergeCell ref="D21:E21"/>
    <mergeCell ref="F21:G21"/>
    <mergeCell ref="H21:I21"/>
    <mergeCell ref="J21:K21"/>
    <mergeCell ref="D23:E23"/>
    <mergeCell ref="F23:G23"/>
    <mergeCell ref="H23:I23"/>
    <mergeCell ref="J23:K23"/>
    <mergeCell ref="L23:M23"/>
    <mergeCell ref="L21:M21"/>
    <mergeCell ref="D22:E22"/>
    <mergeCell ref="F22:G22"/>
    <mergeCell ref="H22:I22"/>
    <mergeCell ref="J22:K22"/>
    <mergeCell ref="L22:M22"/>
    <mergeCell ref="D25:E25"/>
    <mergeCell ref="F25:G25"/>
    <mergeCell ref="H25:I25"/>
    <mergeCell ref="J25:K25"/>
    <mergeCell ref="L25:M25"/>
    <mergeCell ref="D24:E24"/>
    <mergeCell ref="F24:G24"/>
    <mergeCell ref="H24:I24"/>
    <mergeCell ref="J24:K24"/>
    <mergeCell ref="L24:M24"/>
    <mergeCell ref="L26:M26"/>
    <mergeCell ref="D27:E27"/>
    <mergeCell ref="F27:G27"/>
    <mergeCell ref="H27:I27"/>
    <mergeCell ref="J27:K27"/>
    <mergeCell ref="L27:M27"/>
    <mergeCell ref="B26:B27"/>
    <mergeCell ref="D26:E26"/>
    <mergeCell ref="F26:G26"/>
    <mergeCell ref="H26:I26"/>
    <mergeCell ref="J26:K26"/>
  </mergeCells>
  <hyperlinks>
    <hyperlink ref="D2:E2" location="'день 1 '!A1" display="1 день"/>
    <hyperlink ref="F2:M2" location="'день 1 '!A1" display="1 день"/>
    <hyperlink ref="D15:E15" location="'день 1 '!A1" display="1 день"/>
    <hyperlink ref="F15:M15" location="'день 1 '!A1" display="1 день"/>
  </hyperlinks>
  <pageMargins left="0.32291666666666669" right="0.7" top="0.29166666666666669" bottom="0.44791666666666669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Z91"/>
  <sheetViews>
    <sheetView view="pageLayout" topLeftCell="A106" zoomScale="80" zoomScaleNormal="100" zoomScalePageLayoutView="80" workbookViewId="0">
      <selection activeCell="H16" sqref="H16"/>
    </sheetView>
  </sheetViews>
  <sheetFormatPr defaultRowHeight="15" x14ac:dyDescent="0.25"/>
  <cols>
    <col min="1" max="1" width="3.85546875" style="13" customWidth="1"/>
    <col min="2" max="2" width="2.7109375" style="13" customWidth="1"/>
    <col min="3" max="3" width="10.5703125" style="12" customWidth="1"/>
    <col min="4" max="4" width="33.14062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10.5703125" style="12" customWidth="1"/>
    <col min="15" max="15" width="9" style="12" customWidth="1"/>
    <col min="16" max="16" width="7.28515625" style="12" customWidth="1"/>
    <col min="17" max="20" width="9.140625" style="12"/>
    <col min="21" max="21" width="7.2851562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1" spans="2:26" s="16" customFormat="1" x14ac:dyDescent="0.25"/>
    <row r="2" spans="2:26" s="13" customFormat="1" ht="12.75" customHeight="1" x14ac:dyDescent="0.25"/>
    <row r="3" spans="2:26" s="13" customFormat="1" ht="19.5" x14ac:dyDescent="0.3">
      <c r="C3" s="197" t="s">
        <v>45</v>
      </c>
      <c r="D3" s="197"/>
      <c r="E3" s="197"/>
      <c r="F3" s="197"/>
      <c r="G3" s="197"/>
      <c r="H3" s="47"/>
      <c r="I3" s="48"/>
      <c r="J3" s="48" t="s">
        <v>46</v>
      </c>
      <c r="K3" s="48"/>
      <c r="L3" s="48"/>
      <c r="M3" s="48"/>
    </row>
    <row r="4" spans="2:26" s="13" customFormat="1" ht="17.25" x14ac:dyDescent="0.3">
      <c r="C4" s="45" t="s">
        <v>47</v>
      </c>
      <c r="D4" s="45"/>
      <c r="E4" s="45"/>
      <c r="F4" s="46"/>
      <c r="G4" s="45"/>
      <c r="H4" s="45"/>
      <c r="I4" s="45"/>
      <c r="J4" s="45" t="s">
        <v>259</v>
      </c>
      <c r="K4" s="45"/>
      <c r="L4" s="45"/>
      <c r="M4" s="45"/>
      <c r="N4" s="45"/>
    </row>
    <row r="5" spans="2:26" s="13" customFormat="1" ht="17.25" x14ac:dyDescent="0.3">
      <c r="C5" s="198" t="s">
        <v>48</v>
      </c>
      <c r="D5" s="198"/>
      <c r="E5" s="198"/>
      <c r="F5" s="198"/>
      <c r="G5" s="45"/>
      <c r="H5" s="45"/>
      <c r="I5" s="45"/>
      <c r="J5" s="45" t="s">
        <v>260</v>
      </c>
      <c r="K5" s="45"/>
      <c r="L5" s="45"/>
      <c r="M5" s="45"/>
      <c r="N5" s="45"/>
    </row>
    <row r="6" spans="2:26" s="16" customFormat="1" ht="17.25" x14ac:dyDescent="0.3"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2:26" s="16" customFormat="1" ht="12.75" customHeight="1" x14ac:dyDescent="0.3">
      <c r="C7" s="53"/>
      <c r="D7" s="53"/>
      <c r="E7" s="115"/>
      <c r="F7" s="53"/>
      <c r="G7" s="53"/>
      <c r="H7" s="53"/>
      <c r="I7" s="53"/>
      <c r="J7" s="53"/>
      <c r="K7" s="53"/>
      <c r="L7" s="53"/>
      <c r="M7" s="53"/>
      <c r="N7" s="53"/>
    </row>
    <row r="8" spans="2:26" s="16" customFormat="1" ht="17.25" x14ac:dyDescent="0.3"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2:26" s="13" customFormat="1" x14ac:dyDescent="0.25"/>
    <row r="10" spans="2:26" s="13" customFormat="1" ht="20.25" customHeight="1" x14ac:dyDescent="0.25">
      <c r="B10" s="60"/>
      <c r="C10" s="60"/>
      <c r="D10" s="199" t="s">
        <v>163</v>
      </c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16"/>
      <c r="P10" s="116"/>
      <c r="Q10" s="56"/>
      <c r="R10" s="56"/>
    </row>
    <row r="11" spans="2:26" s="13" customFormat="1" ht="16.5" customHeight="1" x14ac:dyDescent="0.25">
      <c r="B11" s="58"/>
      <c r="C11" s="58"/>
      <c r="D11" s="199" t="s">
        <v>164</v>
      </c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16"/>
      <c r="P11" s="116"/>
      <c r="Q11" s="55"/>
      <c r="R11" s="55"/>
    </row>
    <row r="12" spans="2:26" s="13" customFormat="1" ht="15.75" x14ac:dyDescent="0.25">
      <c r="D12" s="200" t="s">
        <v>261</v>
      </c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117"/>
      <c r="P12" s="114"/>
    </row>
    <row r="13" spans="2:26" ht="15" customHeight="1" thickBot="1" x14ac:dyDescent="0.3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"/>
      <c r="P13" s="2"/>
      <c r="Q13" s="1"/>
      <c r="R13" s="1"/>
      <c r="S13" s="1"/>
      <c r="T13" s="1"/>
      <c r="U13" s="2"/>
      <c r="V13" s="2"/>
      <c r="W13" s="1"/>
      <c r="X13" s="1"/>
      <c r="Y13" s="1"/>
      <c r="Z13" s="1"/>
    </row>
    <row r="14" spans="2:26" ht="15" customHeight="1" x14ac:dyDescent="0.25">
      <c r="B14" s="206" t="s">
        <v>44</v>
      </c>
      <c r="C14" s="217" t="s">
        <v>0</v>
      </c>
      <c r="D14" s="220" t="s">
        <v>1</v>
      </c>
      <c r="E14" s="223" t="s">
        <v>6</v>
      </c>
      <c r="F14" s="224"/>
      <c r="G14" s="227" t="s">
        <v>7</v>
      </c>
      <c r="H14" s="227"/>
      <c r="I14" s="227"/>
      <c r="J14" s="227"/>
      <c r="K14" s="227"/>
      <c r="L14" s="227"/>
      <c r="M14" s="192" t="s">
        <v>5</v>
      </c>
      <c r="N14" s="193"/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207"/>
      <c r="C15" s="218"/>
      <c r="D15" s="221"/>
      <c r="E15" s="225"/>
      <c r="F15" s="226"/>
      <c r="G15" s="196" t="s">
        <v>3</v>
      </c>
      <c r="H15" s="196"/>
      <c r="I15" s="194" t="s">
        <v>2</v>
      </c>
      <c r="J15" s="194"/>
      <c r="K15" s="196" t="s">
        <v>4</v>
      </c>
      <c r="L15" s="196"/>
      <c r="M15" s="194"/>
      <c r="N15" s="195"/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ht="27.75" customHeight="1" thickBot="1" x14ac:dyDescent="0.3">
      <c r="B16" s="208"/>
      <c r="C16" s="219"/>
      <c r="D16" s="222"/>
      <c r="E16" s="27" t="s">
        <v>15</v>
      </c>
      <c r="F16" s="28" t="s">
        <v>49</v>
      </c>
      <c r="G16" s="27" t="s">
        <v>15</v>
      </c>
      <c r="H16" s="28" t="s">
        <v>49</v>
      </c>
      <c r="I16" s="27" t="s">
        <v>15</v>
      </c>
      <c r="J16" s="28" t="s">
        <v>49</v>
      </c>
      <c r="K16" s="27" t="s">
        <v>15</v>
      </c>
      <c r="L16" s="28" t="s">
        <v>49</v>
      </c>
      <c r="M16" s="27" t="s">
        <v>15</v>
      </c>
      <c r="N16" s="29" t="s">
        <v>49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25">
      <c r="B17" s="212" t="s">
        <v>236</v>
      </c>
      <c r="C17" s="209" t="s">
        <v>8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1"/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213"/>
      <c r="C18" s="80" t="s">
        <v>62</v>
      </c>
      <c r="D18" s="51" t="s">
        <v>17</v>
      </c>
      <c r="E18" s="61">
        <v>150</v>
      </c>
      <c r="F18" s="31">
        <v>200</v>
      </c>
      <c r="G18" s="22">
        <f>E18*2.5/100</f>
        <v>3.75</v>
      </c>
      <c r="H18" s="33">
        <f>F18*2.5/100</f>
        <v>5</v>
      </c>
      <c r="I18" s="22">
        <f>E18*3.18/100</f>
        <v>4.7699999999999996</v>
      </c>
      <c r="J18" s="33">
        <f>F18*3.18/100</f>
        <v>6.36</v>
      </c>
      <c r="K18" s="22">
        <f>E18*15.7/100</f>
        <v>23.55</v>
      </c>
      <c r="L18" s="33">
        <f>F18*15.7/100</f>
        <v>31.4</v>
      </c>
      <c r="M18" s="22">
        <f t="shared" ref="M18:N19" si="0">G18*4+I18*9+K18*4</f>
        <v>152.13</v>
      </c>
      <c r="N18" s="35">
        <f t="shared" si="0"/>
        <v>202.84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s="16" customFormat="1" x14ac:dyDescent="0.25">
      <c r="B19" s="213"/>
      <c r="C19" s="119" t="s">
        <v>165</v>
      </c>
      <c r="D19" s="120" t="s">
        <v>166</v>
      </c>
      <c r="E19" s="61">
        <v>15</v>
      </c>
      <c r="F19" s="118">
        <v>15</v>
      </c>
      <c r="G19" s="22">
        <f>E19*23.2/100</f>
        <v>3.48</v>
      </c>
      <c r="H19" s="33">
        <f>F19*23.2/100</f>
        <v>3.48</v>
      </c>
      <c r="I19" s="22">
        <f>E19*29.5/100</f>
        <v>4.4249999999999998</v>
      </c>
      <c r="J19" s="33">
        <f>F19*29.5/100</f>
        <v>4.4249999999999998</v>
      </c>
      <c r="K19" s="22">
        <f>E19*0/100</f>
        <v>0</v>
      </c>
      <c r="L19" s="33">
        <f>F19*0/100</f>
        <v>0</v>
      </c>
      <c r="M19" s="22">
        <f t="shared" si="0"/>
        <v>53.744999999999997</v>
      </c>
      <c r="N19" s="35">
        <f t="shared" si="0"/>
        <v>53.744999999999997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213"/>
      <c r="C20" s="21" t="s">
        <v>87</v>
      </c>
      <c r="D20" s="6" t="s">
        <v>88</v>
      </c>
      <c r="E20" s="63">
        <v>40</v>
      </c>
      <c r="F20" s="64">
        <v>40</v>
      </c>
      <c r="G20" s="22">
        <f>E20*7.6/100</f>
        <v>3.04</v>
      </c>
      <c r="H20" s="33">
        <f>F20*7.6/100</f>
        <v>3.04</v>
      </c>
      <c r="I20" s="22">
        <f>E20*0.8/100</f>
        <v>0.32</v>
      </c>
      <c r="J20" s="33">
        <f>F20*0.8/100</f>
        <v>0.32</v>
      </c>
      <c r="K20" s="22">
        <f>E20*49.2/100</f>
        <v>19.68</v>
      </c>
      <c r="L20" s="33">
        <f>F20*49.2/100</f>
        <v>19.68</v>
      </c>
      <c r="M20" s="22">
        <f t="shared" ref="M20:N22" si="1">G20*4+I20*9+K20*4</f>
        <v>93.759999999999991</v>
      </c>
      <c r="N20" s="35">
        <f t="shared" si="1"/>
        <v>93.759999999999991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213"/>
      <c r="C21" s="21" t="s">
        <v>50</v>
      </c>
      <c r="D21" s="6" t="s">
        <v>11</v>
      </c>
      <c r="E21" s="61">
        <v>200</v>
      </c>
      <c r="F21" s="31">
        <v>200</v>
      </c>
      <c r="G21" s="22">
        <f>E21*0.3/200</f>
        <v>0.3</v>
      </c>
      <c r="H21" s="33">
        <f>F21*0.3/200</f>
        <v>0.3</v>
      </c>
      <c r="I21" s="22">
        <f t="shared" ref="I21:J21" si="2">E21*0.1/200</f>
        <v>0.1</v>
      </c>
      <c r="J21" s="33">
        <f t="shared" si="2"/>
        <v>0.1</v>
      </c>
      <c r="K21" s="22">
        <f>E21*9.5/200</f>
        <v>9.5</v>
      </c>
      <c r="L21" s="33">
        <f>F21*9.5/200</f>
        <v>9.5</v>
      </c>
      <c r="M21" s="22">
        <f t="shared" si="1"/>
        <v>40.1</v>
      </c>
      <c r="N21" s="35">
        <f t="shared" si="1"/>
        <v>40.1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s="16" customFormat="1" x14ac:dyDescent="0.25">
      <c r="B22" s="213"/>
      <c r="C22" s="21" t="s">
        <v>167</v>
      </c>
      <c r="D22" s="6" t="s">
        <v>168</v>
      </c>
      <c r="E22" s="61">
        <v>150</v>
      </c>
      <c r="F22" s="31">
        <v>150</v>
      </c>
      <c r="G22" s="22">
        <f>E22*0.4/100</f>
        <v>0.6</v>
      </c>
      <c r="H22" s="33">
        <f>F22*0.4/100</f>
        <v>0.6</v>
      </c>
      <c r="I22" s="22">
        <f>E22*0.4/100</f>
        <v>0.6</v>
      </c>
      <c r="J22" s="33">
        <f>F22*0.4/100</f>
        <v>0.6</v>
      </c>
      <c r="K22" s="22">
        <f>E22*9.8/100</f>
        <v>14.7</v>
      </c>
      <c r="L22" s="33">
        <f>F22*9.8/100</f>
        <v>14.7</v>
      </c>
      <c r="M22" s="22">
        <f t="shared" si="1"/>
        <v>66.599999999999994</v>
      </c>
      <c r="N22" s="35">
        <f t="shared" si="1"/>
        <v>66.599999999999994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x14ac:dyDescent="0.25">
      <c r="B23" s="213"/>
      <c r="C23" s="26"/>
      <c r="D23" s="4" t="s">
        <v>13</v>
      </c>
      <c r="E23" s="24">
        <f t="shared" ref="E23:L23" si="3">SUM(E18:E22)</f>
        <v>555</v>
      </c>
      <c r="F23" s="32">
        <f t="shared" si="3"/>
        <v>605</v>
      </c>
      <c r="G23" s="7">
        <f t="shared" si="3"/>
        <v>11.17</v>
      </c>
      <c r="H23" s="34">
        <f t="shared" si="3"/>
        <v>12.42</v>
      </c>
      <c r="I23" s="7">
        <f t="shared" si="3"/>
        <v>10.215</v>
      </c>
      <c r="J23" s="34">
        <f t="shared" si="3"/>
        <v>11.805</v>
      </c>
      <c r="K23" s="7">
        <f t="shared" si="3"/>
        <v>67.430000000000007</v>
      </c>
      <c r="L23" s="34">
        <f t="shared" si="3"/>
        <v>75.28</v>
      </c>
      <c r="M23" s="7">
        <f>G23*4+I23*9+K23*4</f>
        <v>406.33500000000004</v>
      </c>
      <c r="N23" s="36">
        <f>H23*4+J23*9+L23*4</f>
        <v>457.04500000000002</v>
      </c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x14ac:dyDescent="0.25">
      <c r="B24" s="213"/>
      <c r="C24" s="202" t="s">
        <v>9</v>
      </c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1"/>
      <c r="P24" s="3"/>
      <c r="Q24" s="5"/>
      <c r="R24" s="5"/>
      <c r="S24" s="5"/>
      <c r="T24" s="5"/>
      <c r="U24" s="1"/>
      <c r="V24" s="3"/>
      <c r="W24" s="5"/>
      <c r="X24" s="5"/>
      <c r="Y24" s="5"/>
      <c r="Z24" s="5"/>
    </row>
    <row r="25" spans="2:26" x14ac:dyDescent="0.25">
      <c r="B25" s="213"/>
      <c r="C25" s="20" t="s">
        <v>257</v>
      </c>
      <c r="D25" s="9" t="s">
        <v>258</v>
      </c>
      <c r="E25" s="62">
        <v>60</v>
      </c>
      <c r="F25" s="43">
        <v>100</v>
      </c>
      <c r="G25" s="23">
        <v>0.48</v>
      </c>
      <c r="H25" s="44">
        <v>0.8</v>
      </c>
      <c r="I25" s="23">
        <v>3.6</v>
      </c>
      <c r="J25" s="44">
        <v>6</v>
      </c>
      <c r="K25" s="23">
        <v>1.56</v>
      </c>
      <c r="L25" s="44">
        <v>2.6</v>
      </c>
      <c r="M25" s="23">
        <v>40.56</v>
      </c>
      <c r="N25" s="41">
        <v>67.600000000000009</v>
      </c>
      <c r="O25" s="1"/>
      <c r="P25" s="3"/>
      <c r="Q25" s="5"/>
      <c r="R25" s="5"/>
      <c r="S25" s="5"/>
      <c r="T25" s="5"/>
      <c r="U25" s="1"/>
      <c r="V25" s="3"/>
      <c r="W25" s="5"/>
      <c r="X25" s="5"/>
      <c r="Y25" s="5"/>
      <c r="Z25" s="5"/>
    </row>
    <row r="26" spans="2:26" s="16" customFormat="1" x14ac:dyDescent="0.25">
      <c r="B26" s="213"/>
      <c r="C26" s="59" t="s">
        <v>73</v>
      </c>
      <c r="D26" s="9" t="s">
        <v>74</v>
      </c>
      <c r="E26" s="61">
        <v>200</v>
      </c>
      <c r="F26" s="37">
        <v>250</v>
      </c>
      <c r="G26" s="22">
        <f>E26*1.05/100</f>
        <v>2.1</v>
      </c>
      <c r="H26" s="33">
        <f>F26*1.05/100</f>
        <v>2.625</v>
      </c>
      <c r="I26" s="22">
        <f>E26*2.04/100</f>
        <v>4.08</v>
      </c>
      <c r="J26" s="33">
        <f>F26*2.04/100</f>
        <v>5.0999999999999996</v>
      </c>
      <c r="K26" s="22">
        <f>E26*5.3/100</f>
        <v>10.6</v>
      </c>
      <c r="L26" s="33">
        <f>F26*5.3/100</f>
        <v>13.25</v>
      </c>
      <c r="M26" s="23">
        <f t="shared" ref="M26:N28" si="4">G26*4+I26*9+K26*4</f>
        <v>87.52</v>
      </c>
      <c r="N26" s="41">
        <f t="shared" si="4"/>
        <v>109.4</v>
      </c>
      <c r="O26" s="1"/>
      <c r="P26" s="3"/>
      <c r="Q26" s="5"/>
      <c r="R26" s="5"/>
      <c r="S26" s="5"/>
      <c r="T26" s="5"/>
      <c r="U26" s="1"/>
      <c r="V26" s="3"/>
      <c r="W26" s="5"/>
      <c r="X26" s="5"/>
      <c r="Y26" s="5"/>
      <c r="Z26" s="5"/>
    </row>
    <row r="27" spans="2:26" x14ac:dyDescent="0.25">
      <c r="B27" s="213"/>
      <c r="C27" s="21" t="s">
        <v>169</v>
      </c>
      <c r="D27" s="6" t="s">
        <v>170</v>
      </c>
      <c r="E27" s="61">
        <v>150</v>
      </c>
      <c r="F27" s="31">
        <v>200</v>
      </c>
      <c r="G27" s="22">
        <f>E27*5.67/100</f>
        <v>8.5050000000000008</v>
      </c>
      <c r="H27" s="33">
        <f>F27*5.67/100</f>
        <v>11.34</v>
      </c>
      <c r="I27" s="22">
        <f>E27*4.24/100</f>
        <v>6.36</v>
      </c>
      <c r="J27" s="33">
        <f>F27*4.24/100</f>
        <v>8.48</v>
      </c>
      <c r="K27" s="22">
        <f>E27*25.13/100</f>
        <v>37.695</v>
      </c>
      <c r="L27" s="33">
        <f>F27*25.13/100</f>
        <v>50.26</v>
      </c>
      <c r="M27" s="22">
        <f t="shared" si="4"/>
        <v>242.04000000000002</v>
      </c>
      <c r="N27" s="35">
        <f t="shared" si="4"/>
        <v>322.72000000000003</v>
      </c>
      <c r="O27" s="1"/>
      <c r="P27" s="3"/>
      <c r="Q27" s="5"/>
      <c r="R27" s="5" t="s">
        <v>25</v>
      </c>
      <c r="S27" s="5"/>
      <c r="T27" s="5"/>
      <c r="U27" s="1"/>
      <c r="V27" s="3"/>
      <c r="W27" s="5"/>
      <c r="X27" s="5"/>
      <c r="Y27" s="5"/>
      <c r="Z27" s="5"/>
    </row>
    <row r="28" spans="2:26" s="16" customFormat="1" x14ac:dyDescent="0.25">
      <c r="B28" s="213"/>
      <c r="C28" s="20" t="s">
        <v>249</v>
      </c>
      <c r="D28" s="9" t="s">
        <v>250</v>
      </c>
      <c r="E28" s="130">
        <v>100</v>
      </c>
      <c r="F28" s="31">
        <v>100</v>
      </c>
      <c r="G28" s="22">
        <f>E28*18.2/100</f>
        <v>18.2</v>
      </c>
      <c r="H28" s="33">
        <f>F28*18.2/100</f>
        <v>18.2</v>
      </c>
      <c r="I28" s="22">
        <f>E28*7.55/100</f>
        <v>7.55</v>
      </c>
      <c r="J28" s="33">
        <f>F28*7.55/100</f>
        <v>7.55</v>
      </c>
      <c r="K28" s="22">
        <f>E28*2.3/100</f>
        <v>2.2999999999999998</v>
      </c>
      <c r="L28" s="33">
        <f>F28*2.3/100</f>
        <v>2.2999999999999998</v>
      </c>
      <c r="M28" s="22">
        <f t="shared" si="4"/>
        <v>149.94999999999999</v>
      </c>
      <c r="N28" s="35">
        <f t="shared" si="4"/>
        <v>149.94999999999999</v>
      </c>
      <c r="O28" s="1"/>
      <c r="P28" s="3"/>
      <c r="Q28" s="5"/>
      <c r="R28" s="5"/>
      <c r="S28" s="5"/>
      <c r="T28" s="5"/>
      <c r="U28" s="1"/>
      <c r="V28" s="3"/>
      <c r="W28" s="5"/>
      <c r="X28" s="5"/>
      <c r="Y28" s="5"/>
      <c r="Z28" s="5"/>
    </row>
    <row r="29" spans="2:26" s="16" customFormat="1" x14ac:dyDescent="0.25">
      <c r="B29" s="213"/>
      <c r="C29" s="20" t="s">
        <v>52</v>
      </c>
      <c r="D29" s="9" t="s">
        <v>53</v>
      </c>
      <c r="E29" s="61">
        <v>200</v>
      </c>
      <c r="F29" s="31">
        <v>200</v>
      </c>
      <c r="G29" s="22">
        <f>E29*0.6/200</f>
        <v>0.6</v>
      </c>
      <c r="H29" s="33">
        <f>F29*0.6/200</f>
        <v>0.6</v>
      </c>
      <c r="I29" s="22">
        <f t="shared" ref="I29:J29" si="5">E29*0.1/200</f>
        <v>0.1</v>
      </c>
      <c r="J29" s="33">
        <f t="shared" si="5"/>
        <v>0.1</v>
      </c>
      <c r="K29" s="22">
        <f>E29*20.1/200</f>
        <v>20.100000000000001</v>
      </c>
      <c r="L29" s="33">
        <f>F29*20.1/200</f>
        <v>20.100000000000001</v>
      </c>
      <c r="M29" s="22">
        <f t="shared" ref="M29:N31" si="6">G29*4+I29*9+K29*4</f>
        <v>83.7</v>
      </c>
      <c r="N29" s="35">
        <f t="shared" si="6"/>
        <v>83.7</v>
      </c>
      <c r="O29" s="1"/>
      <c r="P29" s="3"/>
      <c r="Q29" s="5"/>
      <c r="R29" s="5"/>
      <c r="S29" s="5"/>
      <c r="T29" s="5"/>
      <c r="U29" s="1"/>
      <c r="V29" s="3"/>
      <c r="W29" s="5"/>
      <c r="X29" s="5"/>
      <c r="Y29" s="5"/>
      <c r="Z29" s="5"/>
    </row>
    <row r="30" spans="2:26" x14ac:dyDescent="0.25">
      <c r="B30" s="213"/>
      <c r="C30" s="21" t="s">
        <v>86</v>
      </c>
      <c r="D30" s="6" t="s">
        <v>23</v>
      </c>
      <c r="E30" s="63">
        <v>30</v>
      </c>
      <c r="F30" s="64">
        <v>30</v>
      </c>
      <c r="G30" s="22">
        <f>E30*8/100</f>
        <v>2.4</v>
      </c>
      <c r="H30" s="33">
        <f>F30*8/100</f>
        <v>2.4</v>
      </c>
      <c r="I30" s="22">
        <f>E30*1.5/100</f>
        <v>0.45</v>
      </c>
      <c r="J30" s="33">
        <f>F30*1.5/100</f>
        <v>0.45</v>
      </c>
      <c r="K30" s="22">
        <f>E30*40.1/100</f>
        <v>12.03</v>
      </c>
      <c r="L30" s="33">
        <f>F30*40.1/100</f>
        <v>12.03</v>
      </c>
      <c r="M30" s="22">
        <f t="shared" si="6"/>
        <v>61.769999999999996</v>
      </c>
      <c r="N30" s="35">
        <f t="shared" si="6"/>
        <v>61.769999999999996</v>
      </c>
      <c r="O30" s="1"/>
      <c r="P30" s="3"/>
      <c r="Q30" s="5"/>
      <c r="R30" s="5"/>
      <c r="S30" s="5"/>
      <c r="T30" s="5"/>
      <c r="U30" s="1"/>
      <c r="V30" s="3"/>
      <c r="W30" s="5"/>
      <c r="X30" s="5"/>
      <c r="Y30" s="5"/>
      <c r="Z30" s="5"/>
    </row>
    <row r="31" spans="2:26" x14ac:dyDescent="0.25">
      <c r="B31" s="213"/>
      <c r="C31" s="21" t="s">
        <v>87</v>
      </c>
      <c r="D31" s="6" t="s">
        <v>88</v>
      </c>
      <c r="E31" s="63">
        <v>50</v>
      </c>
      <c r="F31" s="64">
        <v>50</v>
      </c>
      <c r="G31" s="22">
        <f>E31*7.6/100</f>
        <v>3.8</v>
      </c>
      <c r="H31" s="33">
        <f>F31*7.6/100</f>
        <v>3.8</v>
      </c>
      <c r="I31" s="22">
        <f>E31*0.8/100</f>
        <v>0.4</v>
      </c>
      <c r="J31" s="33">
        <f>F31*0.8/100</f>
        <v>0.4</v>
      </c>
      <c r="K31" s="22">
        <f>E31*49.2/100</f>
        <v>24.6</v>
      </c>
      <c r="L31" s="33">
        <f>F31*49.2/100</f>
        <v>24.6</v>
      </c>
      <c r="M31" s="22">
        <f t="shared" si="6"/>
        <v>117.2</v>
      </c>
      <c r="N31" s="35">
        <f t="shared" si="6"/>
        <v>117.2</v>
      </c>
      <c r="O31" s="1"/>
      <c r="P31" s="3"/>
      <c r="Q31" s="5" t="s">
        <v>25</v>
      </c>
      <c r="R31" s="5"/>
      <c r="S31" s="5"/>
      <c r="T31" s="5"/>
      <c r="U31" s="1"/>
      <c r="V31" s="3"/>
      <c r="W31" s="5"/>
      <c r="X31" s="5"/>
      <c r="Y31" s="5"/>
      <c r="Z31" s="5"/>
    </row>
    <row r="32" spans="2:26" x14ac:dyDescent="0.25">
      <c r="B32" s="213"/>
      <c r="C32" s="21"/>
      <c r="D32" s="4" t="s">
        <v>14</v>
      </c>
      <c r="E32" s="24">
        <f t="shared" ref="E32:N32" si="7">SUM(E25:E31)</f>
        <v>790</v>
      </c>
      <c r="F32" s="38">
        <f t="shared" si="7"/>
        <v>930</v>
      </c>
      <c r="G32" s="7">
        <f t="shared" si="7"/>
        <v>36.085000000000001</v>
      </c>
      <c r="H32" s="34">
        <f t="shared" si="7"/>
        <v>39.765000000000001</v>
      </c>
      <c r="I32" s="7">
        <f t="shared" si="7"/>
        <v>22.54</v>
      </c>
      <c r="J32" s="34">
        <f t="shared" si="7"/>
        <v>28.08</v>
      </c>
      <c r="K32" s="24">
        <f t="shared" si="7"/>
        <v>108.88499999999999</v>
      </c>
      <c r="L32" s="34">
        <f t="shared" si="7"/>
        <v>125.13999999999999</v>
      </c>
      <c r="M32" s="7">
        <f t="shared" si="7"/>
        <v>782.74</v>
      </c>
      <c r="N32" s="36">
        <f t="shared" si="7"/>
        <v>912.34000000000015</v>
      </c>
      <c r="O32" s="1"/>
      <c r="P32" s="3"/>
      <c r="Q32" s="5"/>
      <c r="R32" s="5"/>
      <c r="S32" s="5"/>
      <c r="T32" s="5"/>
      <c r="U32" s="1"/>
      <c r="V32" s="3"/>
      <c r="W32" s="5"/>
      <c r="X32" s="5"/>
      <c r="Y32" s="5"/>
      <c r="Z32" s="5"/>
    </row>
    <row r="33" spans="2:26" ht="15.75" thickBot="1" x14ac:dyDescent="0.3">
      <c r="B33" s="213"/>
      <c r="C33" s="66"/>
      <c r="D33" s="67" t="s">
        <v>12</v>
      </c>
      <c r="E33" s="71"/>
      <c r="F33" s="72"/>
      <c r="G33" s="68">
        <f t="shared" ref="G33:N33" si="8">G23+G32</f>
        <v>47.255000000000003</v>
      </c>
      <c r="H33" s="69">
        <f t="shared" si="8"/>
        <v>52.185000000000002</v>
      </c>
      <c r="I33" s="68">
        <f t="shared" si="8"/>
        <v>32.754999999999995</v>
      </c>
      <c r="J33" s="69">
        <f t="shared" si="8"/>
        <v>39.884999999999998</v>
      </c>
      <c r="K33" s="68">
        <f t="shared" si="8"/>
        <v>176.315</v>
      </c>
      <c r="L33" s="69">
        <f t="shared" si="8"/>
        <v>200.42</v>
      </c>
      <c r="M33" s="68">
        <f t="shared" si="8"/>
        <v>1189.075</v>
      </c>
      <c r="N33" s="70">
        <f t="shared" si="8"/>
        <v>1369.3850000000002</v>
      </c>
      <c r="O33" s="1"/>
      <c r="P33" s="3"/>
      <c r="Q33" s="5"/>
      <c r="R33" s="5"/>
      <c r="S33" s="5"/>
      <c r="T33" s="5"/>
      <c r="U33" s="1"/>
      <c r="V33" s="3"/>
      <c r="W33" s="5"/>
      <c r="X33" s="5"/>
      <c r="Y33" s="5"/>
      <c r="Z33" s="5"/>
    </row>
    <row r="34" spans="2:26" ht="15" customHeight="1" x14ac:dyDescent="0.25">
      <c r="B34" s="212" t="s">
        <v>237</v>
      </c>
      <c r="C34" s="209" t="s">
        <v>8</v>
      </c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1"/>
    </row>
    <row r="35" spans="2:26" ht="25.5" x14ac:dyDescent="0.25">
      <c r="B35" s="213"/>
      <c r="C35" s="20" t="s">
        <v>84</v>
      </c>
      <c r="D35" s="8" t="s">
        <v>85</v>
      </c>
      <c r="E35" s="128">
        <v>200</v>
      </c>
      <c r="F35" s="129">
        <v>250</v>
      </c>
      <c r="G35" s="23">
        <f>E35*2.8/100</f>
        <v>5.6</v>
      </c>
      <c r="H35" s="44">
        <f>F35*2.8/100</f>
        <v>7</v>
      </c>
      <c r="I35" s="23">
        <f>E35*3.16/100</f>
        <v>6.32</v>
      </c>
      <c r="J35" s="44">
        <f>F35*3.16/100</f>
        <v>7.9</v>
      </c>
      <c r="K35" s="23">
        <f>E35*9.88/100</f>
        <v>19.760000000000002</v>
      </c>
      <c r="L35" s="44">
        <f>F35*9.88/100</f>
        <v>24.7</v>
      </c>
      <c r="M35" s="23">
        <f t="shared" ref="M35:N39" si="9">G35*4+I35*9+K35*4</f>
        <v>158.32</v>
      </c>
      <c r="N35" s="41">
        <f t="shared" si="9"/>
        <v>197.9</v>
      </c>
      <c r="O35" s="50"/>
    </row>
    <row r="36" spans="2:26" x14ac:dyDescent="0.25">
      <c r="B36" s="213"/>
      <c r="C36" s="119" t="s">
        <v>171</v>
      </c>
      <c r="D36" s="120" t="s">
        <v>172</v>
      </c>
      <c r="E36" s="61">
        <v>10</v>
      </c>
      <c r="F36" s="118">
        <v>10</v>
      </c>
      <c r="G36" s="22">
        <f>E36*0.8/100</f>
        <v>0.08</v>
      </c>
      <c r="H36" s="33">
        <f>F36*0.8/100</f>
        <v>0.08</v>
      </c>
      <c r="I36" s="22">
        <f>E36*72.5/100</f>
        <v>7.25</v>
      </c>
      <c r="J36" s="33">
        <f>F36*72.5/100</f>
        <v>7.25</v>
      </c>
      <c r="K36" s="22">
        <f>E36*1.3/100</f>
        <v>0.13</v>
      </c>
      <c r="L36" s="33">
        <f>F36*1.3/100</f>
        <v>0.13</v>
      </c>
      <c r="M36" s="22">
        <f t="shared" si="9"/>
        <v>66.089999999999989</v>
      </c>
      <c r="N36" s="35">
        <f t="shared" si="9"/>
        <v>66.089999999999989</v>
      </c>
    </row>
    <row r="37" spans="2:26" s="16" customFormat="1" x14ac:dyDescent="0.25">
      <c r="B37" s="213"/>
      <c r="C37" s="21" t="s">
        <v>87</v>
      </c>
      <c r="D37" s="6" t="s">
        <v>88</v>
      </c>
      <c r="E37" s="63">
        <v>40</v>
      </c>
      <c r="F37" s="64">
        <v>40</v>
      </c>
      <c r="G37" s="22">
        <f>E37*7.6/100</f>
        <v>3.04</v>
      </c>
      <c r="H37" s="33">
        <f>F37*7.6/100</f>
        <v>3.04</v>
      </c>
      <c r="I37" s="22">
        <f>E37*0.8/100</f>
        <v>0.32</v>
      </c>
      <c r="J37" s="33">
        <f>F37*0.8/100</f>
        <v>0.32</v>
      </c>
      <c r="K37" s="22">
        <f>E37*49.2/100</f>
        <v>19.68</v>
      </c>
      <c r="L37" s="33">
        <f>F37*49.2/100</f>
        <v>19.68</v>
      </c>
      <c r="M37" s="22">
        <f t="shared" si="9"/>
        <v>93.759999999999991</v>
      </c>
      <c r="N37" s="35">
        <f t="shared" si="9"/>
        <v>93.759999999999991</v>
      </c>
    </row>
    <row r="38" spans="2:26" s="16" customFormat="1" x14ac:dyDescent="0.25">
      <c r="B38" s="213"/>
      <c r="C38" s="21" t="s">
        <v>167</v>
      </c>
      <c r="D38" s="6" t="s">
        <v>168</v>
      </c>
      <c r="E38" s="61">
        <v>150</v>
      </c>
      <c r="F38" s="31">
        <v>150</v>
      </c>
      <c r="G38" s="22">
        <f>E38*0.4/100</f>
        <v>0.6</v>
      </c>
      <c r="H38" s="33">
        <f>F38*0.4/100</f>
        <v>0.6</v>
      </c>
      <c r="I38" s="22">
        <f>E38*0.4/100</f>
        <v>0.6</v>
      </c>
      <c r="J38" s="33">
        <f>F38*0.4/100</f>
        <v>0.6</v>
      </c>
      <c r="K38" s="22">
        <f>E38*9.8/100</f>
        <v>14.7</v>
      </c>
      <c r="L38" s="33">
        <f>F38*9.8/100</f>
        <v>14.7</v>
      </c>
      <c r="M38" s="22">
        <f t="shared" si="9"/>
        <v>66.599999999999994</v>
      </c>
      <c r="N38" s="35">
        <f t="shared" si="9"/>
        <v>66.599999999999994</v>
      </c>
    </row>
    <row r="39" spans="2:26" x14ac:dyDescent="0.25">
      <c r="B39" s="213"/>
      <c r="C39" s="20" t="s">
        <v>51</v>
      </c>
      <c r="D39" s="9" t="s">
        <v>16</v>
      </c>
      <c r="E39" s="61">
        <v>200</v>
      </c>
      <c r="F39" s="31">
        <v>200</v>
      </c>
      <c r="G39" s="22">
        <f>E39*0.2/200</f>
        <v>0.2</v>
      </c>
      <c r="H39" s="33">
        <f>F39*0.2/200</f>
        <v>0.2</v>
      </c>
      <c r="I39" s="22">
        <f t="shared" ref="I39:J39" si="10">E39*0.1/200</f>
        <v>0.1</v>
      </c>
      <c r="J39" s="33">
        <f t="shared" si="10"/>
        <v>0.1</v>
      </c>
      <c r="K39" s="22">
        <f>E39*9.3/200</f>
        <v>9.3000000000000007</v>
      </c>
      <c r="L39" s="33">
        <f>F39*9.3/200</f>
        <v>9.3000000000000007</v>
      </c>
      <c r="M39" s="22">
        <f t="shared" si="9"/>
        <v>38.900000000000006</v>
      </c>
      <c r="N39" s="35">
        <f t="shared" si="9"/>
        <v>38.900000000000006</v>
      </c>
    </row>
    <row r="40" spans="2:26" x14ac:dyDescent="0.25">
      <c r="B40" s="213"/>
      <c r="C40" s="26"/>
      <c r="D40" s="4" t="s">
        <v>13</v>
      </c>
      <c r="E40" s="24">
        <f t="shared" ref="E40:L40" si="11">SUM(E35:E39)</f>
        <v>600</v>
      </c>
      <c r="F40" s="32">
        <f t="shared" si="11"/>
        <v>650</v>
      </c>
      <c r="G40" s="7">
        <f t="shared" si="11"/>
        <v>9.5199999999999978</v>
      </c>
      <c r="H40" s="34">
        <f t="shared" si="11"/>
        <v>10.92</v>
      </c>
      <c r="I40" s="7">
        <f t="shared" si="11"/>
        <v>14.59</v>
      </c>
      <c r="J40" s="34">
        <f t="shared" si="11"/>
        <v>16.170000000000002</v>
      </c>
      <c r="K40" s="7">
        <f t="shared" si="11"/>
        <v>63.569999999999993</v>
      </c>
      <c r="L40" s="34">
        <f t="shared" si="11"/>
        <v>68.509999999999991</v>
      </c>
      <c r="M40" s="7">
        <f t="shared" ref="M40:N40" si="12">G40*4+I40*9+K40*4</f>
        <v>423.66999999999996</v>
      </c>
      <c r="N40" s="36">
        <f t="shared" si="12"/>
        <v>463.25</v>
      </c>
    </row>
    <row r="41" spans="2:26" x14ac:dyDescent="0.25">
      <c r="B41" s="213"/>
      <c r="C41" s="202" t="s">
        <v>9</v>
      </c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4"/>
    </row>
    <row r="42" spans="2:26" x14ac:dyDescent="0.25">
      <c r="B42" s="213"/>
      <c r="C42" s="21" t="s">
        <v>173</v>
      </c>
      <c r="D42" s="6" t="s">
        <v>174</v>
      </c>
      <c r="E42" s="61">
        <v>60</v>
      </c>
      <c r="F42" s="37">
        <v>100</v>
      </c>
      <c r="G42" s="22">
        <f>E42*4.8/100</f>
        <v>2.88</v>
      </c>
      <c r="H42" s="33">
        <f>F42*4.8/100</f>
        <v>4.8</v>
      </c>
      <c r="I42" s="22">
        <f>E42*10.7/100</f>
        <v>6.42</v>
      </c>
      <c r="J42" s="33">
        <f>F42*10.7/100</f>
        <v>10.7</v>
      </c>
      <c r="K42" s="22">
        <f>E42*6.5/100</f>
        <v>3.9</v>
      </c>
      <c r="L42" s="33">
        <f>F42*6.5/100</f>
        <v>6.5</v>
      </c>
      <c r="M42" s="22">
        <f t="shared" ref="M42:N47" si="13">G42*4+I42*9+K42*4</f>
        <v>84.899999999999991</v>
      </c>
      <c r="N42" s="35">
        <f t="shared" si="13"/>
        <v>141.5</v>
      </c>
    </row>
    <row r="43" spans="2:26" s="16" customFormat="1" x14ac:dyDescent="0.25">
      <c r="B43" s="213"/>
      <c r="C43" s="80" t="s">
        <v>175</v>
      </c>
      <c r="D43" s="51" t="s">
        <v>176</v>
      </c>
      <c r="E43" s="62">
        <v>200</v>
      </c>
      <c r="F43" s="43">
        <v>250</v>
      </c>
      <c r="G43" s="23">
        <f>E43*2.6/250</f>
        <v>2.08</v>
      </c>
      <c r="H43" s="44">
        <f>F43*2.6/250</f>
        <v>2.6</v>
      </c>
      <c r="I43" s="23">
        <f>E43*5.3/250</f>
        <v>4.24</v>
      </c>
      <c r="J43" s="44">
        <f>F43*5.3/250</f>
        <v>5.3</v>
      </c>
      <c r="K43" s="23">
        <f>E43*14.3/250</f>
        <v>11.44</v>
      </c>
      <c r="L43" s="44">
        <f>F43*14.3/250</f>
        <v>14.3</v>
      </c>
      <c r="M43" s="23">
        <f t="shared" si="13"/>
        <v>92.240000000000009</v>
      </c>
      <c r="N43" s="41">
        <f t="shared" si="13"/>
        <v>115.3</v>
      </c>
    </row>
    <row r="44" spans="2:26" x14ac:dyDescent="0.25">
      <c r="B44" s="213"/>
      <c r="C44" s="20" t="s">
        <v>20</v>
      </c>
      <c r="D44" s="9" t="s">
        <v>21</v>
      </c>
      <c r="E44" s="61">
        <v>150</v>
      </c>
      <c r="F44" s="31">
        <v>180</v>
      </c>
      <c r="G44" s="22">
        <f>E44*2.1/100</f>
        <v>3.15</v>
      </c>
      <c r="H44" s="33">
        <f>F44*2.1/100</f>
        <v>3.78</v>
      </c>
      <c r="I44" s="22">
        <f>E44*3.5/100</f>
        <v>5.25</v>
      </c>
      <c r="J44" s="33">
        <f>F44*3.5/100</f>
        <v>6.3</v>
      </c>
      <c r="K44" s="22">
        <f>E44*14.6/100</f>
        <v>21.9</v>
      </c>
      <c r="L44" s="33">
        <f>F44*14.6/100</f>
        <v>26.28</v>
      </c>
      <c r="M44" s="22">
        <f t="shared" si="13"/>
        <v>147.44999999999999</v>
      </c>
      <c r="N44" s="35">
        <f t="shared" si="13"/>
        <v>176.94</v>
      </c>
    </row>
    <row r="45" spans="2:26" s="16" customFormat="1" x14ac:dyDescent="0.25">
      <c r="B45" s="213"/>
      <c r="C45" s="20" t="s">
        <v>35</v>
      </c>
      <c r="D45" s="9" t="s">
        <v>26</v>
      </c>
      <c r="E45" s="61">
        <v>90</v>
      </c>
      <c r="F45" s="31">
        <v>100</v>
      </c>
      <c r="G45" s="22">
        <f>E45*6.33/100</f>
        <v>5.6970000000000001</v>
      </c>
      <c r="H45" s="33">
        <f>F45*6.33/100</f>
        <v>6.33</v>
      </c>
      <c r="I45" s="22">
        <f>E45*14.65/100</f>
        <v>13.185</v>
      </c>
      <c r="J45" s="33">
        <f>F45*14.65/100</f>
        <v>14.65</v>
      </c>
      <c r="K45" s="22">
        <f>E45*10.55/100</f>
        <v>9.495000000000001</v>
      </c>
      <c r="L45" s="33">
        <f>F45*10.55/100</f>
        <v>10.55</v>
      </c>
      <c r="M45" s="22">
        <f t="shared" si="13"/>
        <v>179.43299999999999</v>
      </c>
      <c r="N45" s="35">
        <f t="shared" si="13"/>
        <v>199.37</v>
      </c>
    </row>
    <row r="46" spans="2:26" s="16" customFormat="1" x14ac:dyDescent="0.25">
      <c r="B46" s="213"/>
      <c r="C46" s="20" t="s">
        <v>71</v>
      </c>
      <c r="D46" s="9" t="s">
        <v>72</v>
      </c>
      <c r="E46" s="61">
        <v>40</v>
      </c>
      <c r="F46" s="31">
        <v>50</v>
      </c>
      <c r="G46" s="22">
        <f>E46*1.3/50</f>
        <v>1.04</v>
      </c>
      <c r="H46" s="33">
        <f>F46*1.3/50</f>
        <v>1.3</v>
      </c>
      <c r="I46" s="22">
        <f>E46*4.8/50</f>
        <v>3.84</v>
      </c>
      <c r="J46" s="33">
        <f>F46*4.8/50</f>
        <v>4.8</v>
      </c>
      <c r="K46" s="22">
        <f>E46*4.7/50</f>
        <v>3.76</v>
      </c>
      <c r="L46" s="33">
        <f>F46*4.7/50</f>
        <v>4.7</v>
      </c>
      <c r="M46" s="22">
        <f t="shared" si="13"/>
        <v>53.76</v>
      </c>
      <c r="N46" s="35">
        <f t="shared" si="13"/>
        <v>67.2</v>
      </c>
    </row>
    <row r="47" spans="2:26" x14ac:dyDescent="0.25">
      <c r="B47" s="213"/>
      <c r="C47" s="21" t="s">
        <v>177</v>
      </c>
      <c r="D47" s="6" t="s">
        <v>178</v>
      </c>
      <c r="E47" s="61">
        <v>200</v>
      </c>
      <c r="F47" s="31">
        <v>200</v>
      </c>
      <c r="G47" s="22">
        <f>E47*0.12/200</f>
        <v>0.12</v>
      </c>
      <c r="H47" s="33">
        <f>F47*0.12/200</f>
        <v>0.12</v>
      </c>
      <c r="I47" s="22">
        <f>E47*0.03/100</f>
        <v>0.06</v>
      </c>
      <c r="J47" s="33">
        <f>F47*0.03/100</f>
        <v>0.06</v>
      </c>
      <c r="K47" s="22">
        <f>E47*16.1/200</f>
        <v>16.100000000000001</v>
      </c>
      <c r="L47" s="33">
        <f>F47*16.1/200</f>
        <v>16.100000000000001</v>
      </c>
      <c r="M47" s="22">
        <f t="shared" si="13"/>
        <v>65.42</v>
      </c>
      <c r="N47" s="35">
        <f t="shared" si="13"/>
        <v>65.42</v>
      </c>
    </row>
    <row r="48" spans="2:26" x14ac:dyDescent="0.25">
      <c r="B48" s="213"/>
      <c r="C48" s="21" t="s">
        <v>86</v>
      </c>
      <c r="D48" s="6" t="s">
        <v>23</v>
      </c>
      <c r="E48" s="63">
        <v>30</v>
      </c>
      <c r="F48" s="64">
        <v>30</v>
      </c>
      <c r="G48" s="22">
        <f>E48*8/100</f>
        <v>2.4</v>
      </c>
      <c r="H48" s="33">
        <f>F48*8/100</f>
        <v>2.4</v>
      </c>
      <c r="I48" s="22">
        <f>E48*1.5/100</f>
        <v>0.45</v>
      </c>
      <c r="J48" s="33">
        <f>F48*1.5/100</f>
        <v>0.45</v>
      </c>
      <c r="K48" s="22">
        <f>E48*40.1/100</f>
        <v>12.03</v>
      </c>
      <c r="L48" s="33">
        <f>F48*40.1/100</f>
        <v>12.03</v>
      </c>
      <c r="M48" s="22">
        <f t="shared" ref="M48:N49" si="14">G48*4+I48*9+K48*4</f>
        <v>61.769999999999996</v>
      </c>
      <c r="N48" s="35">
        <f t="shared" si="14"/>
        <v>61.769999999999996</v>
      </c>
    </row>
    <row r="49" spans="2:14" x14ac:dyDescent="0.25">
      <c r="B49" s="213"/>
      <c r="C49" s="21" t="s">
        <v>87</v>
      </c>
      <c r="D49" s="6" t="s">
        <v>88</v>
      </c>
      <c r="E49" s="63">
        <v>50</v>
      </c>
      <c r="F49" s="64">
        <v>50</v>
      </c>
      <c r="G49" s="22">
        <f>E49*7.6/100</f>
        <v>3.8</v>
      </c>
      <c r="H49" s="33">
        <f>F49*7.6/100</f>
        <v>3.8</v>
      </c>
      <c r="I49" s="22">
        <f>E49*0.8/100</f>
        <v>0.4</v>
      </c>
      <c r="J49" s="33">
        <f>F49*0.8/100</f>
        <v>0.4</v>
      </c>
      <c r="K49" s="22">
        <f>E49*49.2/100</f>
        <v>24.6</v>
      </c>
      <c r="L49" s="33">
        <f>F49*49.2/100</f>
        <v>24.6</v>
      </c>
      <c r="M49" s="22">
        <f t="shared" si="14"/>
        <v>117.2</v>
      </c>
      <c r="N49" s="35">
        <f t="shared" si="14"/>
        <v>117.2</v>
      </c>
    </row>
    <row r="50" spans="2:14" x14ac:dyDescent="0.25">
      <c r="B50" s="213"/>
      <c r="C50" s="21"/>
      <c r="D50" s="4" t="s">
        <v>14</v>
      </c>
      <c r="E50" s="24">
        <f>SUM(E42:E49)</f>
        <v>820</v>
      </c>
      <c r="F50" s="38">
        <f t="shared" ref="F50:N50" si="15">SUM(F42:F49)</f>
        <v>960</v>
      </c>
      <c r="G50" s="7">
        <f>SUM(G42:G49)</f>
        <v>21.166999999999998</v>
      </c>
      <c r="H50" s="34">
        <f t="shared" si="15"/>
        <v>25.13</v>
      </c>
      <c r="I50" s="24">
        <f t="shared" si="15"/>
        <v>33.845000000000006</v>
      </c>
      <c r="J50" s="34">
        <f t="shared" si="15"/>
        <v>42.660000000000004</v>
      </c>
      <c r="K50" s="7">
        <f t="shared" si="15"/>
        <v>103.22499999999999</v>
      </c>
      <c r="L50" s="34">
        <f t="shared" si="15"/>
        <v>115.06</v>
      </c>
      <c r="M50" s="7">
        <f t="shared" si="15"/>
        <v>802.173</v>
      </c>
      <c r="N50" s="36">
        <f t="shared" si="15"/>
        <v>944.7</v>
      </c>
    </row>
    <row r="51" spans="2:14" ht="15.75" thickBot="1" x14ac:dyDescent="0.3">
      <c r="B51" s="213"/>
      <c r="C51" s="66"/>
      <c r="D51" s="67" t="s">
        <v>12</v>
      </c>
      <c r="E51" s="71"/>
      <c r="F51" s="72"/>
      <c r="G51" s="68">
        <f t="shared" ref="G51:N51" si="16">G40+G50</f>
        <v>30.686999999999998</v>
      </c>
      <c r="H51" s="69">
        <f t="shared" si="16"/>
        <v>36.049999999999997</v>
      </c>
      <c r="I51" s="68">
        <f t="shared" si="16"/>
        <v>48.435000000000002</v>
      </c>
      <c r="J51" s="69">
        <f t="shared" si="16"/>
        <v>58.830000000000005</v>
      </c>
      <c r="K51" s="68">
        <f t="shared" si="16"/>
        <v>166.79499999999999</v>
      </c>
      <c r="L51" s="69">
        <f t="shared" si="16"/>
        <v>183.57</v>
      </c>
      <c r="M51" s="68">
        <f t="shared" si="16"/>
        <v>1225.8429999999998</v>
      </c>
      <c r="N51" s="70">
        <f t="shared" si="16"/>
        <v>1407.95</v>
      </c>
    </row>
    <row r="52" spans="2:14" x14ac:dyDescent="0.25">
      <c r="B52" s="214" t="s">
        <v>238</v>
      </c>
      <c r="C52" s="209" t="s">
        <v>8</v>
      </c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1"/>
    </row>
    <row r="53" spans="2:14" x14ac:dyDescent="0.25">
      <c r="B53" s="215"/>
      <c r="C53" s="20" t="s">
        <v>180</v>
      </c>
      <c r="D53" s="8" t="s">
        <v>181</v>
      </c>
      <c r="E53" s="88">
        <v>150</v>
      </c>
      <c r="F53" s="30">
        <v>180</v>
      </c>
      <c r="G53" s="22">
        <f>E53*13/100</f>
        <v>19.5</v>
      </c>
      <c r="H53" s="33">
        <f>F53*13/100</f>
        <v>23.4</v>
      </c>
      <c r="I53" s="22">
        <f>E53*5/100</f>
        <v>7.5</v>
      </c>
      <c r="J53" s="33">
        <f>F53*5/100</f>
        <v>9</v>
      </c>
      <c r="K53" s="22">
        <f>E53*13/100</f>
        <v>19.5</v>
      </c>
      <c r="L53" s="33">
        <f>F53*13/100</f>
        <v>23.4</v>
      </c>
      <c r="M53" s="22">
        <f t="shared" ref="M53:N55" si="17">G53*4+I53*9+K53*4</f>
        <v>223.5</v>
      </c>
      <c r="N53" s="35">
        <f t="shared" si="17"/>
        <v>268.2</v>
      </c>
    </row>
    <row r="54" spans="2:14" s="16" customFormat="1" x14ac:dyDescent="0.25">
      <c r="B54" s="215"/>
      <c r="C54" s="21" t="s">
        <v>182</v>
      </c>
      <c r="D54" s="120" t="s">
        <v>183</v>
      </c>
      <c r="E54" s="88">
        <v>15</v>
      </c>
      <c r="F54" s="118">
        <v>15</v>
      </c>
      <c r="G54" s="121">
        <f>E54*0/10</f>
        <v>0</v>
      </c>
      <c r="H54" s="122">
        <f>F54*0/10</f>
        <v>0</v>
      </c>
      <c r="I54" s="121">
        <f>E54*0/10</f>
        <v>0</v>
      </c>
      <c r="J54" s="122">
        <f>F54*0/10</f>
        <v>0</v>
      </c>
      <c r="K54" s="22">
        <f>E54*61/100</f>
        <v>9.15</v>
      </c>
      <c r="L54" s="33">
        <f>F54*61/100</f>
        <v>9.15</v>
      </c>
      <c r="M54" s="22">
        <f t="shared" si="17"/>
        <v>36.6</v>
      </c>
      <c r="N54" s="35">
        <f t="shared" si="17"/>
        <v>36.6</v>
      </c>
    </row>
    <row r="55" spans="2:14" s="16" customFormat="1" x14ac:dyDescent="0.25">
      <c r="B55" s="215"/>
      <c r="C55" s="21" t="s">
        <v>167</v>
      </c>
      <c r="D55" s="6" t="s">
        <v>168</v>
      </c>
      <c r="E55" s="88">
        <v>150</v>
      </c>
      <c r="F55" s="31">
        <v>150</v>
      </c>
      <c r="G55" s="22">
        <f>E55*0.4/100</f>
        <v>0.6</v>
      </c>
      <c r="H55" s="33">
        <f>F55*0.4/100</f>
        <v>0.6</v>
      </c>
      <c r="I55" s="22">
        <f>E55*0.4/100</f>
        <v>0.6</v>
      </c>
      <c r="J55" s="33">
        <f>F55*0.4/100</f>
        <v>0.6</v>
      </c>
      <c r="K55" s="22">
        <f>E55*9.8/100</f>
        <v>14.7</v>
      </c>
      <c r="L55" s="33">
        <f>F55*9.8/100</f>
        <v>14.7</v>
      </c>
      <c r="M55" s="22">
        <f t="shared" si="17"/>
        <v>66.599999999999994</v>
      </c>
      <c r="N55" s="35">
        <f t="shared" si="17"/>
        <v>66.599999999999994</v>
      </c>
    </row>
    <row r="56" spans="2:14" x14ac:dyDescent="0.25">
      <c r="B56" s="215"/>
      <c r="C56" s="21" t="s">
        <v>87</v>
      </c>
      <c r="D56" s="6" t="s">
        <v>88</v>
      </c>
      <c r="E56" s="63">
        <v>40</v>
      </c>
      <c r="F56" s="64">
        <v>40</v>
      </c>
      <c r="G56" s="22">
        <f>E56*7.6/100</f>
        <v>3.04</v>
      </c>
      <c r="H56" s="33">
        <f>F56*7.6/100</f>
        <v>3.04</v>
      </c>
      <c r="I56" s="22">
        <f>E56*0.8/100</f>
        <v>0.32</v>
      </c>
      <c r="J56" s="33">
        <f>F56*0.8/100</f>
        <v>0.32</v>
      </c>
      <c r="K56" s="22">
        <f>E56*49.2/100</f>
        <v>19.68</v>
      </c>
      <c r="L56" s="33">
        <f>F56*49.2/100</f>
        <v>19.68</v>
      </c>
      <c r="M56" s="22">
        <f t="shared" ref="M56:N57" si="18">G56*4+I56*9+K56*4</f>
        <v>93.759999999999991</v>
      </c>
      <c r="N56" s="35">
        <f t="shared" si="18"/>
        <v>93.759999999999991</v>
      </c>
    </row>
    <row r="57" spans="2:14" x14ac:dyDescent="0.25">
      <c r="B57" s="215"/>
      <c r="C57" s="20" t="s">
        <v>80</v>
      </c>
      <c r="D57" s="9" t="s">
        <v>81</v>
      </c>
      <c r="E57" s="88">
        <v>200</v>
      </c>
      <c r="F57" s="31">
        <v>200</v>
      </c>
      <c r="G57" s="22">
        <f>E57*1.4/200</f>
        <v>1.4</v>
      </c>
      <c r="H57" s="33">
        <f>F57*1.4/200</f>
        <v>1.4</v>
      </c>
      <c r="I57" s="22">
        <f>E57*1.2/200</f>
        <v>1.2</v>
      </c>
      <c r="J57" s="33">
        <f>F57*1.2/200</f>
        <v>1.2</v>
      </c>
      <c r="K57" s="22">
        <f>E57*11.4/200</f>
        <v>11.4</v>
      </c>
      <c r="L57" s="33">
        <f>F57*11.4/200</f>
        <v>11.4</v>
      </c>
      <c r="M57" s="22">
        <f t="shared" si="18"/>
        <v>62</v>
      </c>
      <c r="N57" s="35">
        <f t="shared" si="18"/>
        <v>62</v>
      </c>
    </row>
    <row r="58" spans="2:14" x14ac:dyDescent="0.25">
      <c r="B58" s="215"/>
      <c r="C58" s="26"/>
      <c r="D58" s="4" t="s">
        <v>13</v>
      </c>
      <c r="E58" s="24">
        <f t="shared" ref="E58:L58" si="19">SUM(E53:E57)</f>
        <v>555</v>
      </c>
      <c r="F58" s="32">
        <f t="shared" si="19"/>
        <v>585</v>
      </c>
      <c r="G58" s="7">
        <f t="shared" si="19"/>
        <v>24.54</v>
      </c>
      <c r="H58" s="34">
        <f t="shared" si="19"/>
        <v>28.439999999999998</v>
      </c>
      <c r="I58" s="7">
        <f t="shared" si="19"/>
        <v>9.6199999999999992</v>
      </c>
      <c r="J58" s="34">
        <f t="shared" si="19"/>
        <v>11.12</v>
      </c>
      <c r="K58" s="7">
        <f t="shared" si="19"/>
        <v>74.429999999999993</v>
      </c>
      <c r="L58" s="34">
        <f t="shared" si="19"/>
        <v>78.330000000000013</v>
      </c>
      <c r="M58" s="7">
        <f t="shared" ref="M58:N58" si="20">G58*4+I58*9+K58*4</f>
        <v>482.46</v>
      </c>
      <c r="N58" s="36">
        <f t="shared" si="20"/>
        <v>527.16000000000008</v>
      </c>
    </row>
    <row r="59" spans="2:14" x14ac:dyDescent="0.25">
      <c r="B59" s="215"/>
      <c r="C59" s="202" t="s">
        <v>9</v>
      </c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4"/>
    </row>
    <row r="60" spans="2:14" x14ac:dyDescent="0.25">
      <c r="B60" s="215"/>
      <c r="C60" s="20" t="s">
        <v>192</v>
      </c>
      <c r="D60" s="9" t="s">
        <v>193</v>
      </c>
      <c r="E60" s="130">
        <v>60</v>
      </c>
      <c r="F60" s="37">
        <v>100</v>
      </c>
      <c r="G60" s="22">
        <f>E60*0.6/100</f>
        <v>0.36</v>
      </c>
      <c r="H60" s="33">
        <f>F60*0.6/100</f>
        <v>0.6</v>
      </c>
      <c r="I60" s="22">
        <f>E60*7.1/100</f>
        <v>4.26</v>
      </c>
      <c r="J60" s="33">
        <f>F60*7.1/100</f>
        <v>7.1</v>
      </c>
      <c r="K60" s="22">
        <f>E60*3/100</f>
        <v>1.8</v>
      </c>
      <c r="L60" s="33">
        <f>F60*3/100</f>
        <v>3</v>
      </c>
      <c r="M60" s="23">
        <f t="shared" ref="M60:N63" si="21">G60*4+I60*9+K60*4</f>
        <v>46.98</v>
      </c>
      <c r="N60" s="41">
        <f t="shared" si="21"/>
        <v>78.3</v>
      </c>
    </row>
    <row r="61" spans="2:14" s="16" customFormat="1" ht="15.75" customHeight="1" x14ac:dyDescent="0.25">
      <c r="B61" s="215"/>
      <c r="C61" s="20" t="s">
        <v>22</v>
      </c>
      <c r="D61" s="9" t="s">
        <v>75</v>
      </c>
      <c r="E61" s="131">
        <v>200</v>
      </c>
      <c r="F61" s="43">
        <v>250</v>
      </c>
      <c r="G61" s="22">
        <f>E61*0.8/100</f>
        <v>1.6</v>
      </c>
      <c r="H61" s="33">
        <f>F61*0.8/100</f>
        <v>2</v>
      </c>
      <c r="I61" s="22">
        <f>E61*2.08/100</f>
        <v>4.16</v>
      </c>
      <c r="J61" s="33">
        <f>F61*2.08/100</f>
        <v>5.2</v>
      </c>
      <c r="K61" s="22">
        <f>E61*5.24/100</f>
        <v>10.48</v>
      </c>
      <c r="L61" s="33">
        <f>F61*5.24/100</f>
        <v>13.1</v>
      </c>
      <c r="M61" s="22">
        <f t="shared" si="21"/>
        <v>85.759999999999991</v>
      </c>
      <c r="N61" s="35">
        <f>H61*4+J61*9+L61*4</f>
        <v>107.2</v>
      </c>
    </row>
    <row r="62" spans="2:14" s="16" customFormat="1" ht="15" customHeight="1" x14ac:dyDescent="0.25">
      <c r="B62" s="215"/>
      <c r="C62" s="21" t="s">
        <v>36</v>
      </c>
      <c r="D62" s="6" t="s">
        <v>10</v>
      </c>
      <c r="E62" s="130">
        <v>150</v>
      </c>
      <c r="F62" s="31">
        <v>180</v>
      </c>
      <c r="G62" s="22">
        <f>E62*3.63/100</f>
        <v>5.4450000000000003</v>
      </c>
      <c r="H62" s="33">
        <f>F62*3.63/100</f>
        <v>6.5339999999999998</v>
      </c>
      <c r="I62" s="22">
        <f>E62*4.5/100</f>
        <v>6.75</v>
      </c>
      <c r="J62" s="33">
        <f>F62*4.5/100</f>
        <v>8.1</v>
      </c>
      <c r="K62" s="22">
        <f>E62*22.5/100</f>
        <v>33.75</v>
      </c>
      <c r="L62" s="33">
        <f>F62*22.5/100</f>
        <v>40.5</v>
      </c>
      <c r="M62" s="22">
        <f t="shared" si="21"/>
        <v>217.53</v>
      </c>
      <c r="N62" s="35">
        <f t="shared" si="21"/>
        <v>261.036</v>
      </c>
    </row>
    <row r="63" spans="2:14" s="16" customFormat="1" ht="15" customHeight="1" x14ac:dyDescent="0.25">
      <c r="B63" s="215"/>
      <c r="C63" s="20" t="s">
        <v>194</v>
      </c>
      <c r="D63" s="8" t="s">
        <v>195</v>
      </c>
      <c r="E63" s="130">
        <v>90</v>
      </c>
      <c r="F63" s="31">
        <v>100</v>
      </c>
      <c r="G63" s="22">
        <f>E63*15.3/100</f>
        <v>13.77</v>
      </c>
      <c r="H63" s="33">
        <f>F63*15.3/100</f>
        <v>15.3</v>
      </c>
      <c r="I63" s="22">
        <f>E63*11/100</f>
        <v>9.9</v>
      </c>
      <c r="J63" s="33">
        <f>F63*11/100</f>
        <v>11</v>
      </c>
      <c r="K63" s="22">
        <f>E63*13.3/100</f>
        <v>11.97</v>
      </c>
      <c r="L63" s="33">
        <f>F63*13.3/100</f>
        <v>13.3</v>
      </c>
      <c r="M63" s="23">
        <f t="shared" si="21"/>
        <v>192.06</v>
      </c>
      <c r="N63" s="41">
        <f t="shared" si="21"/>
        <v>213.39999999999998</v>
      </c>
    </row>
    <row r="64" spans="2:14" x14ac:dyDescent="0.25">
      <c r="B64" s="215"/>
      <c r="C64" s="21" t="s">
        <v>82</v>
      </c>
      <c r="D64" s="6" t="s">
        <v>83</v>
      </c>
      <c r="E64" s="88">
        <v>200</v>
      </c>
      <c r="F64" s="31">
        <v>200</v>
      </c>
      <c r="G64" s="22">
        <f>E64*0.5/100</f>
        <v>1</v>
      </c>
      <c r="H64" s="33">
        <f>F64*0.5/100</f>
        <v>1</v>
      </c>
      <c r="I64" s="22">
        <f>E64*0.1/100</f>
        <v>0.2</v>
      </c>
      <c r="J64" s="33">
        <f>F64*0.1/100</f>
        <v>0.2</v>
      </c>
      <c r="K64" s="22">
        <f>E64*10.1/100</f>
        <v>20.2</v>
      </c>
      <c r="L64" s="33">
        <f>F64*10.1/100</f>
        <v>20.2</v>
      </c>
      <c r="M64" s="22">
        <f t="shared" ref="M64:N64" si="22">G64*4+I64*9+K64*4</f>
        <v>86.6</v>
      </c>
      <c r="N64" s="35">
        <f t="shared" si="22"/>
        <v>86.6</v>
      </c>
    </row>
    <row r="65" spans="2:14" x14ac:dyDescent="0.25">
      <c r="B65" s="215"/>
      <c r="C65" s="21" t="s">
        <v>86</v>
      </c>
      <c r="D65" s="6" t="s">
        <v>23</v>
      </c>
      <c r="E65" s="63">
        <v>20</v>
      </c>
      <c r="F65" s="64">
        <v>20</v>
      </c>
      <c r="G65" s="22">
        <f>E65*8/100</f>
        <v>1.6</v>
      </c>
      <c r="H65" s="33">
        <f>F65*8/100</f>
        <v>1.6</v>
      </c>
      <c r="I65" s="22">
        <f>E65*1.5/100</f>
        <v>0.3</v>
      </c>
      <c r="J65" s="33">
        <f>F65*1.5/100</f>
        <v>0.3</v>
      </c>
      <c r="K65" s="22">
        <f>E65*40.1/100</f>
        <v>8.02</v>
      </c>
      <c r="L65" s="33">
        <f>F65*40.1/100</f>
        <v>8.02</v>
      </c>
      <c r="M65" s="22">
        <f t="shared" ref="M65:N66" si="23">G65*4+I65*9+K65*4</f>
        <v>41.18</v>
      </c>
      <c r="N65" s="35">
        <f t="shared" si="23"/>
        <v>41.18</v>
      </c>
    </row>
    <row r="66" spans="2:14" x14ac:dyDescent="0.25">
      <c r="B66" s="215"/>
      <c r="C66" s="21" t="s">
        <v>87</v>
      </c>
      <c r="D66" s="6" t="s">
        <v>88</v>
      </c>
      <c r="E66" s="63">
        <v>50</v>
      </c>
      <c r="F66" s="64">
        <v>50</v>
      </c>
      <c r="G66" s="22">
        <f>E66*7.6/100</f>
        <v>3.8</v>
      </c>
      <c r="H66" s="33">
        <f>F66*7.6/100</f>
        <v>3.8</v>
      </c>
      <c r="I66" s="22">
        <f>E66*0.8/100</f>
        <v>0.4</v>
      </c>
      <c r="J66" s="33">
        <f>F66*0.8/100</f>
        <v>0.4</v>
      </c>
      <c r="K66" s="22">
        <f>E66*49.2/100</f>
        <v>24.6</v>
      </c>
      <c r="L66" s="33">
        <f>F66*49.2/100</f>
        <v>24.6</v>
      </c>
      <c r="M66" s="22">
        <f t="shared" si="23"/>
        <v>117.2</v>
      </c>
      <c r="N66" s="35">
        <f t="shared" si="23"/>
        <v>117.2</v>
      </c>
    </row>
    <row r="67" spans="2:14" x14ac:dyDescent="0.25">
      <c r="B67" s="215"/>
      <c r="C67" s="21"/>
      <c r="D67" s="4" t="s">
        <v>14</v>
      </c>
      <c r="E67" s="24">
        <f t="shared" ref="E67:N67" si="24">SUM(E60:E66)</f>
        <v>770</v>
      </c>
      <c r="F67" s="38">
        <f t="shared" si="24"/>
        <v>900</v>
      </c>
      <c r="G67" s="7">
        <f>SUM(G60:G66)</f>
        <v>27.575000000000003</v>
      </c>
      <c r="H67" s="34">
        <f t="shared" si="24"/>
        <v>30.834000000000003</v>
      </c>
      <c r="I67" s="24">
        <f t="shared" si="24"/>
        <v>25.97</v>
      </c>
      <c r="J67" s="34">
        <f t="shared" si="24"/>
        <v>32.299999999999997</v>
      </c>
      <c r="K67" s="7">
        <f t="shared" si="24"/>
        <v>110.82</v>
      </c>
      <c r="L67" s="34">
        <f t="shared" si="24"/>
        <v>122.72</v>
      </c>
      <c r="M67" s="7">
        <f>SUM(M60:M66)</f>
        <v>787.31</v>
      </c>
      <c r="N67" s="36">
        <f t="shared" si="24"/>
        <v>904.91599999999994</v>
      </c>
    </row>
    <row r="68" spans="2:14" ht="15.75" thickBot="1" x14ac:dyDescent="0.3">
      <c r="B68" s="216"/>
      <c r="C68" s="25"/>
      <c r="D68" s="17" t="s">
        <v>12</v>
      </c>
      <c r="E68" s="18"/>
      <c r="F68" s="39"/>
      <c r="G68" s="19">
        <f>G58+G67</f>
        <v>52.115000000000002</v>
      </c>
      <c r="H68" s="40">
        <f t="shared" ref="H68:N68" si="25">H58+H67</f>
        <v>59.274000000000001</v>
      </c>
      <c r="I68" s="19">
        <f t="shared" si="25"/>
        <v>35.589999999999996</v>
      </c>
      <c r="J68" s="40">
        <f t="shared" si="25"/>
        <v>43.419999999999995</v>
      </c>
      <c r="K68" s="19">
        <f t="shared" si="25"/>
        <v>185.25</v>
      </c>
      <c r="L68" s="40">
        <f t="shared" si="25"/>
        <v>201.05</v>
      </c>
      <c r="M68" s="19">
        <f t="shared" si="25"/>
        <v>1269.77</v>
      </c>
      <c r="N68" s="42">
        <f t="shared" si="25"/>
        <v>1432.076</v>
      </c>
    </row>
    <row r="69" spans="2:14" ht="15.75" x14ac:dyDescent="0.25">
      <c r="B69" s="205" t="s">
        <v>18</v>
      </c>
      <c r="C69" s="205"/>
      <c r="D69" s="205"/>
      <c r="E69" s="205"/>
      <c r="H69" s="15"/>
    </row>
    <row r="70" spans="2:14" x14ac:dyDescent="0.25">
      <c r="B70" s="201"/>
      <c r="C70" s="201"/>
      <c r="H70" s="1"/>
    </row>
    <row r="74" spans="2:14" x14ac:dyDescent="0.25">
      <c r="D74" s="12" t="s">
        <v>25</v>
      </c>
    </row>
    <row r="83" spans="6:10" x14ac:dyDescent="0.25">
      <c r="F83" s="1"/>
    </row>
    <row r="91" spans="6:10" x14ac:dyDescent="0.25">
      <c r="J91" s="1"/>
    </row>
  </sheetData>
  <mergeCells count="25">
    <mergeCell ref="B70:C70"/>
    <mergeCell ref="C59:N59"/>
    <mergeCell ref="B69:E69"/>
    <mergeCell ref="B14:B16"/>
    <mergeCell ref="C52:N52"/>
    <mergeCell ref="B17:B33"/>
    <mergeCell ref="B34:B51"/>
    <mergeCell ref="B52:B68"/>
    <mergeCell ref="C41:N41"/>
    <mergeCell ref="C17:N17"/>
    <mergeCell ref="C24:N24"/>
    <mergeCell ref="C34:N34"/>
    <mergeCell ref="C14:C16"/>
    <mergeCell ref="D14:D16"/>
    <mergeCell ref="E14:F15"/>
    <mergeCell ref="G14:L14"/>
    <mergeCell ref="M14:N15"/>
    <mergeCell ref="G15:H15"/>
    <mergeCell ref="I15:J15"/>
    <mergeCell ref="K15:L15"/>
    <mergeCell ref="C3:G3"/>
    <mergeCell ref="C5:F5"/>
    <mergeCell ref="D10:N10"/>
    <mergeCell ref="D11:N11"/>
    <mergeCell ref="D12:N12"/>
  </mergeCells>
  <pageMargins left="0.23622047244094491" right="0.23622047244094491" top="0.19685039370078741" bottom="0.19685039370078741" header="0.31496062992125984" footer="0.31496062992125984"/>
  <pageSetup paperSize="9" scale="75" fitToWidth="0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Z55"/>
  <sheetViews>
    <sheetView tabSelected="1" topLeftCell="A34" zoomScale="90" zoomScaleNormal="90" workbookViewId="0">
      <selection activeCell="F51" sqref="F51"/>
    </sheetView>
  </sheetViews>
  <sheetFormatPr defaultRowHeight="15" x14ac:dyDescent="0.25"/>
  <cols>
    <col min="1" max="1" width="6.5703125" style="14" customWidth="1"/>
    <col min="2" max="2" width="2.7109375" style="14" customWidth="1"/>
    <col min="3" max="3" width="10.5703125" style="14" customWidth="1"/>
    <col min="4" max="4" width="40.140625" style="14" customWidth="1"/>
    <col min="5" max="6" width="7.28515625" style="14" customWidth="1"/>
    <col min="7" max="7" width="6.7109375" style="14" customWidth="1"/>
    <col min="8" max="8" width="6.85546875" style="14" customWidth="1"/>
    <col min="9" max="9" width="6.42578125" style="14" customWidth="1"/>
    <col min="10" max="10" width="6.5703125" style="14" customWidth="1"/>
    <col min="11" max="11" width="7.5703125" style="14" customWidth="1"/>
    <col min="12" max="12" width="7.42578125" style="14" customWidth="1"/>
    <col min="13" max="13" width="8.5703125" style="14" customWidth="1"/>
    <col min="14" max="14" width="7.5703125" style="14" customWidth="1"/>
    <col min="15" max="15" width="9" style="14" customWidth="1"/>
    <col min="16" max="16" width="7.28515625" style="14" customWidth="1"/>
    <col min="17" max="20" width="9.140625" style="14"/>
    <col min="21" max="21" width="19.7109375" style="14" customWidth="1"/>
    <col min="22" max="22" width="7.7109375" style="14" customWidth="1"/>
    <col min="23" max="23" width="9.140625" style="14"/>
    <col min="24" max="24" width="7.7109375" style="14" customWidth="1"/>
    <col min="25" max="16384" width="9.140625" style="14"/>
  </cols>
  <sheetData>
    <row r="1" spans="2:26" ht="23.25" customHeight="1" x14ac:dyDescent="0.25"/>
    <row r="2" spans="2:26" ht="16.5" customHeight="1" thickBot="1" x14ac:dyDescent="0.3">
      <c r="B2" s="205" t="s">
        <v>18</v>
      </c>
      <c r="C2" s="205"/>
      <c r="D2" s="205"/>
      <c r="E2" s="205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206" t="s">
        <v>44</v>
      </c>
      <c r="C3" s="217" t="s">
        <v>0</v>
      </c>
      <c r="D3" s="220" t="s">
        <v>1</v>
      </c>
      <c r="E3" s="223" t="s">
        <v>6</v>
      </c>
      <c r="F3" s="224"/>
      <c r="G3" s="227" t="s">
        <v>7</v>
      </c>
      <c r="H3" s="227"/>
      <c r="I3" s="227"/>
      <c r="J3" s="227"/>
      <c r="K3" s="227"/>
      <c r="L3" s="227"/>
      <c r="M3" s="192" t="s">
        <v>5</v>
      </c>
      <c r="N3" s="193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207"/>
      <c r="C4" s="218"/>
      <c r="D4" s="221"/>
      <c r="E4" s="225"/>
      <c r="F4" s="226"/>
      <c r="G4" s="196" t="s">
        <v>3</v>
      </c>
      <c r="H4" s="196"/>
      <c r="I4" s="194" t="s">
        <v>2</v>
      </c>
      <c r="J4" s="194"/>
      <c r="K4" s="196" t="s">
        <v>4</v>
      </c>
      <c r="L4" s="196"/>
      <c r="M4" s="194"/>
      <c r="N4" s="195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208"/>
      <c r="C5" s="219"/>
      <c r="D5" s="222"/>
      <c r="E5" s="27" t="s">
        <v>15</v>
      </c>
      <c r="F5" s="28" t="s">
        <v>49</v>
      </c>
      <c r="G5" s="27" t="s">
        <v>15</v>
      </c>
      <c r="H5" s="28" t="s">
        <v>49</v>
      </c>
      <c r="I5" s="27" t="s">
        <v>15</v>
      </c>
      <c r="J5" s="28" t="s">
        <v>49</v>
      </c>
      <c r="K5" s="27" t="s">
        <v>15</v>
      </c>
      <c r="L5" s="28" t="s">
        <v>49</v>
      </c>
      <c r="M5" s="27" t="s">
        <v>15</v>
      </c>
      <c r="N5" s="29" t="s">
        <v>49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15" customHeight="1" x14ac:dyDescent="0.25">
      <c r="B6" s="234" t="s">
        <v>239</v>
      </c>
      <c r="C6" s="209" t="s">
        <v>8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1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235"/>
      <c r="C7" s="20" t="s">
        <v>70</v>
      </c>
      <c r="D7" s="8" t="s">
        <v>68</v>
      </c>
      <c r="E7" s="88">
        <v>150</v>
      </c>
      <c r="F7" s="30">
        <v>200</v>
      </c>
      <c r="G7" s="22">
        <f>E7*3.63/100</f>
        <v>5.4450000000000003</v>
      </c>
      <c r="H7" s="33">
        <f>F7*3.63/100</f>
        <v>7.26</v>
      </c>
      <c r="I7" s="22">
        <f>E7*3.62/100</f>
        <v>5.43</v>
      </c>
      <c r="J7" s="33">
        <f>F7*3.62/100</f>
        <v>7.24</v>
      </c>
      <c r="K7" s="22">
        <f>E7*17.42/100</f>
        <v>26.130000000000006</v>
      </c>
      <c r="L7" s="33">
        <f>F7*17.42/100</f>
        <v>34.840000000000003</v>
      </c>
      <c r="M7" s="22">
        <f t="shared" ref="M7:N9" si="0">G7*4+I7*9+K7*4</f>
        <v>175.17000000000002</v>
      </c>
      <c r="N7" s="35">
        <f t="shared" si="0"/>
        <v>233.56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s="16" customFormat="1" x14ac:dyDescent="0.25">
      <c r="B8" s="235"/>
      <c r="C8" s="119" t="s">
        <v>171</v>
      </c>
      <c r="D8" s="120" t="s">
        <v>172</v>
      </c>
      <c r="E8" s="88">
        <v>10</v>
      </c>
      <c r="F8" s="118">
        <v>10</v>
      </c>
      <c r="G8" s="22">
        <f>E8*0.8/100</f>
        <v>0.08</v>
      </c>
      <c r="H8" s="33">
        <f>F8*0.8/100</f>
        <v>0.08</v>
      </c>
      <c r="I8" s="22">
        <f>E8*72.5/100</f>
        <v>7.25</v>
      </c>
      <c r="J8" s="33">
        <f>F8*72.5/100</f>
        <v>7.25</v>
      </c>
      <c r="K8" s="22">
        <f>E8*1.3/100</f>
        <v>0.13</v>
      </c>
      <c r="L8" s="33">
        <f>F8*1.3/100</f>
        <v>0.13</v>
      </c>
      <c r="M8" s="22">
        <f t="shared" si="0"/>
        <v>66.089999999999989</v>
      </c>
      <c r="N8" s="35">
        <f t="shared" si="0"/>
        <v>66.089999999999989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s="16" customFormat="1" x14ac:dyDescent="0.25">
      <c r="B9" s="235"/>
      <c r="C9" s="21" t="s">
        <v>167</v>
      </c>
      <c r="D9" s="6" t="s">
        <v>168</v>
      </c>
      <c r="E9" s="88">
        <v>150</v>
      </c>
      <c r="F9" s="31">
        <v>150</v>
      </c>
      <c r="G9" s="22">
        <f>E9*0.4/100</f>
        <v>0.6</v>
      </c>
      <c r="H9" s="33">
        <f>F9*0.4/100</f>
        <v>0.6</v>
      </c>
      <c r="I9" s="22">
        <f>E9*0.4/100</f>
        <v>0.6</v>
      </c>
      <c r="J9" s="33">
        <f>F9*0.4/100</f>
        <v>0.6</v>
      </c>
      <c r="K9" s="22">
        <f>E9*9.8/100</f>
        <v>14.7</v>
      </c>
      <c r="L9" s="33">
        <f>F9*9.8/100</f>
        <v>14.7</v>
      </c>
      <c r="M9" s="22">
        <f t="shared" si="0"/>
        <v>66.599999999999994</v>
      </c>
      <c r="N9" s="35">
        <f t="shared" si="0"/>
        <v>66.599999999999994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25">
      <c r="B10" s="235"/>
      <c r="C10" s="21" t="s">
        <v>87</v>
      </c>
      <c r="D10" s="6" t="s">
        <v>88</v>
      </c>
      <c r="E10" s="63">
        <v>40</v>
      </c>
      <c r="F10" s="64">
        <v>40</v>
      </c>
      <c r="G10" s="22">
        <f>E10*7.6/100</f>
        <v>3.04</v>
      </c>
      <c r="H10" s="33">
        <f>F10*7.6/100</f>
        <v>3.04</v>
      </c>
      <c r="I10" s="22">
        <f>E10*0.8/100</f>
        <v>0.32</v>
      </c>
      <c r="J10" s="33">
        <f>F10*0.8/100</f>
        <v>0.32</v>
      </c>
      <c r="K10" s="22">
        <f>E10*49.2/100</f>
        <v>19.68</v>
      </c>
      <c r="L10" s="33">
        <f>F10*49.2/100</f>
        <v>19.68</v>
      </c>
      <c r="M10" s="22">
        <f t="shared" ref="M10:N11" si="1">G10*4+I10*9+K10*4</f>
        <v>93.759999999999991</v>
      </c>
      <c r="N10" s="35">
        <f t="shared" si="1"/>
        <v>93.759999999999991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25">
      <c r="B11" s="235"/>
      <c r="C11" s="20" t="s">
        <v>51</v>
      </c>
      <c r="D11" s="9" t="s">
        <v>16</v>
      </c>
      <c r="E11" s="61">
        <v>200</v>
      </c>
      <c r="F11" s="31">
        <v>200</v>
      </c>
      <c r="G11" s="22">
        <f>E11*0.2/200</f>
        <v>0.2</v>
      </c>
      <c r="H11" s="33">
        <f>F11*0.2/200</f>
        <v>0.2</v>
      </c>
      <c r="I11" s="22">
        <f t="shared" ref="I11:J11" si="2">E11*0.1/200</f>
        <v>0.1</v>
      </c>
      <c r="J11" s="33">
        <f t="shared" si="2"/>
        <v>0.1</v>
      </c>
      <c r="K11" s="22">
        <f>E11*9.3/200</f>
        <v>9.3000000000000007</v>
      </c>
      <c r="L11" s="33">
        <f>F11*9.3/200</f>
        <v>9.3000000000000007</v>
      </c>
      <c r="M11" s="22">
        <f t="shared" si="1"/>
        <v>38.900000000000006</v>
      </c>
      <c r="N11" s="35">
        <f t="shared" si="1"/>
        <v>38.900000000000006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25">
      <c r="B12" s="235"/>
      <c r="C12" s="26"/>
      <c r="D12" s="4" t="s">
        <v>13</v>
      </c>
      <c r="E12" s="24">
        <f t="shared" ref="E12:L12" si="3">SUM(E7:E11)</f>
        <v>550</v>
      </c>
      <c r="F12" s="32">
        <f t="shared" si="3"/>
        <v>600</v>
      </c>
      <c r="G12" s="7">
        <f t="shared" si="3"/>
        <v>9.3649999999999984</v>
      </c>
      <c r="H12" s="34">
        <f t="shared" si="3"/>
        <v>11.18</v>
      </c>
      <c r="I12" s="7">
        <f t="shared" si="3"/>
        <v>13.7</v>
      </c>
      <c r="J12" s="34">
        <f t="shared" si="3"/>
        <v>15.51</v>
      </c>
      <c r="K12" s="7">
        <f t="shared" si="3"/>
        <v>69.940000000000012</v>
      </c>
      <c r="L12" s="34">
        <f t="shared" si="3"/>
        <v>78.649999999999991</v>
      </c>
      <c r="M12" s="7">
        <f t="shared" ref="M12:N12" si="4">G12*4+I12*9+K12*4</f>
        <v>440.52000000000004</v>
      </c>
      <c r="N12" s="36">
        <f t="shared" si="4"/>
        <v>498.90999999999997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25">
      <c r="B13" s="235"/>
      <c r="C13" s="231" t="s">
        <v>9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3"/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25">
      <c r="B14" s="235"/>
      <c r="C14" s="20" t="s">
        <v>188</v>
      </c>
      <c r="D14" s="9" t="s">
        <v>189</v>
      </c>
      <c r="E14" s="88">
        <v>60</v>
      </c>
      <c r="F14" s="37">
        <v>100</v>
      </c>
      <c r="G14" s="22">
        <f>E14*1.08/100</f>
        <v>0.64800000000000013</v>
      </c>
      <c r="H14" s="33">
        <f>F14*1.08/100</f>
        <v>1.08</v>
      </c>
      <c r="I14" s="22">
        <f>E14*6/100</f>
        <v>3.6</v>
      </c>
      <c r="J14" s="33">
        <f>F14*6/100</f>
        <v>6</v>
      </c>
      <c r="K14" s="22">
        <f>E14*8.9/100</f>
        <v>5.34</v>
      </c>
      <c r="L14" s="33">
        <f>F14*8.9/100</f>
        <v>8.9</v>
      </c>
      <c r="M14" s="23">
        <f t="shared" ref="M14:N17" si="5">G14*4+I14*9+K14*4</f>
        <v>56.351999999999997</v>
      </c>
      <c r="N14" s="41">
        <f t="shared" si="5"/>
        <v>93.92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s="16" customFormat="1" x14ac:dyDescent="0.25">
      <c r="B15" s="235"/>
      <c r="C15" s="20" t="s">
        <v>107</v>
      </c>
      <c r="D15" s="9" t="s">
        <v>108</v>
      </c>
      <c r="E15" s="87">
        <v>200</v>
      </c>
      <c r="F15" s="43">
        <v>250</v>
      </c>
      <c r="G15" s="23">
        <f>E15*13.5/250</f>
        <v>10.8</v>
      </c>
      <c r="H15" s="44">
        <f>F15*13.5/250</f>
        <v>13.5</v>
      </c>
      <c r="I15" s="23">
        <f>E15*3.6/250</f>
        <v>2.88</v>
      </c>
      <c r="J15" s="44">
        <f>F15*3.6/250</f>
        <v>3.6</v>
      </c>
      <c r="K15" s="23">
        <f>E15*12.5/250</f>
        <v>10</v>
      </c>
      <c r="L15" s="44">
        <f>F15*12.5/250</f>
        <v>12.5</v>
      </c>
      <c r="M15" s="23">
        <f t="shared" si="5"/>
        <v>109.12</v>
      </c>
      <c r="N15" s="41">
        <f t="shared" si="5"/>
        <v>136.4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s="16" customFormat="1" ht="15" customHeight="1" x14ac:dyDescent="0.25">
      <c r="B16" s="235"/>
      <c r="C16" s="20" t="s">
        <v>76</v>
      </c>
      <c r="D16" s="9" t="s">
        <v>77</v>
      </c>
      <c r="E16" s="88">
        <v>230</v>
      </c>
      <c r="F16" s="31">
        <v>250</v>
      </c>
      <c r="G16" s="22">
        <f>E16*5.7/100</f>
        <v>13.11</v>
      </c>
      <c r="H16" s="33">
        <f>F16*5.7/100</f>
        <v>14.25</v>
      </c>
      <c r="I16" s="22">
        <f>E16*9.45/100</f>
        <v>21.734999999999999</v>
      </c>
      <c r="J16" s="33">
        <f>F16*9.45/100</f>
        <v>23.625</v>
      </c>
      <c r="K16" s="22">
        <f>E16*9.4/100</f>
        <v>21.62</v>
      </c>
      <c r="L16" s="33">
        <f>F16*9.4/100</f>
        <v>23.5</v>
      </c>
      <c r="M16" s="22">
        <f t="shared" si="5"/>
        <v>334.53500000000003</v>
      </c>
      <c r="N16" s="35">
        <f t="shared" si="5"/>
        <v>363.625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25">
      <c r="B17" s="235"/>
      <c r="C17" s="20" t="s">
        <v>190</v>
      </c>
      <c r="D17" s="9" t="s">
        <v>191</v>
      </c>
      <c r="E17" s="88">
        <v>200</v>
      </c>
      <c r="F17" s="31">
        <v>200</v>
      </c>
      <c r="G17" s="22">
        <f>E17*0.67/200</f>
        <v>0.67</v>
      </c>
      <c r="H17" s="33">
        <f>F17*0.67/200</f>
        <v>0.67</v>
      </c>
      <c r="I17" s="22">
        <f>E17*0.27/200</f>
        <v>0.27</v>
      </c>
      <c r="J17" s="33">
        <f>F17*0.27/200</f>
        <v>0.27</v>
      </c>
      <c r="K17" s="22">
        <f>E17*18.3/200</f>
        <v>18.3</v>
      </c>
      <c r="L17" s="33">
        <f>F17*18.3/200</f>
        <v>18.3</v>
      </c>
      <c r="M17" s="22">
        <f t="shared" si="5"/>
        <v>78.31</v>
      </c>
      <c r="N17" s="35">
        <f t="shared" si="5"/>
        <v>78.31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235"/>
      <c r="C18" s="21" t="s">
        <v>86</v>
      </c>
      <c r="D18" s="6" t="s">
        <v>23</v>
      </c>
      <c r="E18" s="63">
        <v>30</v>
      </c>
      <c r="F18" s="64">
        <v>30</v>
      </c>
      <c r="G18" s="22">
        <f>E18*8/100</f>
        <v>2.4</v>
      </c>
      <c r="H18" s="33">
        <f>F18*8/100</f>
        <v>2.4</v>
      </c>
      <c r="I18" s="22">
        <f>E18*1.5/100</f>
        <v>0.45</v>
      </c>
      <c r="J18" s="33">
        <f>F18*1.5/100</f>
        <v>0.45</v>
      </c>
      <c r="K18" s="22">
        <f>E18*40.1/100</f>
        <v>12.03</v>
      </c>
      <c r="L18" s="33">
        <f>F18*40.1/100</f>
        <v>12.03</v>
      </c>
      <c r="M18" s="22">
        <f t="shared" ref="M18:N19" si="6">G18*4+I18*9+K18*4</f>
        <v>61.769999999999996</v>
      </c>
      <c r="N18" s="35">
        <f t="shared" si="6"/>
        <v>61.769999999999996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235"/>
      <c r="C19" s="21" t="s">
        <v>87</v>
      </c>
      <c r="D19" s="6" t="s">
        <v>88</v>
      </c>
      <c r="E19" s="63">
        <v>50</v>
      </c>
      <c r="F19" s="64">
        <v>50</v>
      </c>
      <c r="G19" s="22">
        <f>E19*7.6/100</f>
        <v>3.8</v>
      </c>
      <c r="H19" s="33">
        <f>F19*7.6/100</f>
        <v>3.8</v>
      </c>
      <c r="I19" s="22">
        <f>E19*0.8/100</f>
        <v>0.4</v>
      </c>
      <c r="J19" s="33">
        <f>F19*0.8/100</f>
        <v>0.4</v>
      </c>
      <c r="K19" s="22">
        <f>E19*49.2/100</f>
        <v>24.6</v>
      </c>
      <c r="L19" s="33">
        <f>F19*49.2/100</f>
        <v>24.6</v>
      </c>
      <c r="M19" s="22">
        <f t="shared" si="6"/>
        <v>117.2</v>
      </c>
      <c r="N19" s="35">
        <f t="shared" si="6"/>
        <v>117.2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235"/>
      <c r="C20" s="21"/>
      <c r="D20" s="4" t="s">
        <v>14</v>
      </c>
      <c r="E20" s="24">
        <f t="shared" ref="E20:N20" si="7">SUM(E14:E19)</f>
        <v>770</v>
      </c>
      <c r="F20" s="38">
        <f t="shared" si="7"/>
        <v>880</v>
      </c>
      <c r="G20" s="7">
        <f t="shared" si="7"/>
        <v>31.428000000000001</v>
      </c>
      <c r="H20" s="34">
        <f t="shared" si="7"/>
        <v>35.699999999999996</v>
      </c>
      <c r="I20" s="24">
        <f t="shared" si="7"/>
        <v>29.334999999999997</v>
      </c>
      <c r="J20" s="34">
        <f t="shared" si="7"/>
        <v>34.345000000000006</v>
      </c>
      <c r="K20" s="24">
        <f t="shared" si="7"/>
        <v>91.890000000000015</v>
      </c>
      <c r="L20" s="34">
        <f t="shared" si="7"/>
        <v>99.830000000000013</v>
      </c>
      <c r="M20" s="7">
        <f t="shared" si="7"/>
        <v>757.28700000000003</v>
      </c>
      <c r="N20" s="36">
        <f t="shared" si="7"/>
        <v>851.22499999999991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ht="15.75" thickBot="1" x14ac:dyDescent="0.3">
      <c r="B21" s="235"/>
      <c r="C21" s="66"/>
      <c r="D21" s="67" t="s">
        <v>12</v>
      </c>
      <c r="E21" s="71"/>
      <c r="F21" s="72"/>
      <c r="G21" s="68">
        <f t="shared" ref="G21:N21" si="8">G12+G20</f>
        <v>40.792999999999999</v>
      </c>
      <c r="H21" s="69">
        <f t="shared" si="8"/>
        <v>46.879999999999995</v>
      </c>
      <c r="I21" s="68">
        <f t="shared" si="8"/>
        <v>43.034999999999997</v>
      </c>
      <c r="J21" s="69">
        <f t="shared" si="8"/>
        <v>49.855000000000004</v>
      </c>
      <c r="K21" s="68">
        <f t="shared" si="8"/>
        <v>161.83000000000004</v>
      </c>
      <c r="L21" s="69">
        <f t="shared" si="8"/>
        <v>178.48000000000002</v>
      </c>
      <c r="M21" s="68">
        <f t="shared" si="8"/>
        <v>1197.807</v>
      </c>
      <c r="N21" s="70">
        <f t="shared" si="8"/>
        <v>1350.1349999999998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234" t="s">
        <v>248</v>
      </c>
      <c r="C22" s="209" t="s">
        <v>8</v>
      </c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1"/>
    </row>
    <row r="23" spans="2:26" x14ac:dyDescent="0.25">
      <c r="B23" s="235"/>
      <c r="C23" s="20" t="s">
        <v>94</v>
      </c>
      <c r="D23" s="9" t="s">
        <v>89</v>
      </c>
      <c r="E23" s="88">
        <v>150</v>
      </c>
      <c r="F23" s="30">
        <v>200</v>
      </c>
      <c r="G23" s="22">
        <f>E23*2.5/100</f>
        <v>3.75</v>
      </c>
      <c r="H23" s="33">
        <f>F23*2.5/100</f>
        <v>5</v>
      </c>
      <c r="I23" s="22">
        <f>E23*3.2/100</f>
        <v>4.8</v>
      </c>
      <c r="J23" s="33">
        <f>F23*3.2/100</f>
        <v>6.4</v>
      </c>
      <c r="K23" s="22">
        <f>E23*13.45/100</f>
        <v>20.175000000000001</v>
      </c>
      <c r="L23" s="33">
        <f>F23*13.46/100</f>
        <v>26.92</v>
      </c>
      <c r="M23" s="22">
        <f t="shared" ref="M23:N24" si="9">G23*4+I23*9+K23*4</f>
        <v>138.9</v>
      </c>
      <c r="N23" s="35">
        <f t="shared" si="9"/>
        <v>185.28</v>
      </c>
    </row>
    <row r="24" spans="2:26" s="16" customFormat="1" x14ac:dyDescent="0.25">
      <c r="B24" s="235"/>
      <c r="C24" s="119" t="s">
        <v>165</v>
      </c>
      <c r="D24" s="120" t="s">
        <v>166</v>
      </c>
      <c r="E24" s="88">
        <v>15</v>
      </c>
      <c r="F24" s="118">
        <v>15</v>
      </c>
      <c r="G24" s="22">
        <f>E24*23.2/100</f>
        <v>3.48</v>
      </c>
      <c r="H24" s="33">
        <f>F24*23.2/100</f>
        <v>3.48</v>
      </c>
      <c r="I24" s="22">
        <f>E24*29.5/100</f>
        <v>4.4249999999999998</v>
      </c>
      <c r="J24" s="33">
        <f>F24*29.5/100</f>
        <v>4.4249999999999998</v>
      </c>
      <c r="K24" s="22">
        <f>E24*0/100</f>
        <v>0</v>
      </c>
      <c r="L24" s="33">
        <f>F24*0/100</f>
        <v>0</v>
      </c>
      <c r="M24" s="22">
        <f t="shared" si="9"/>
        <v>53.744999999999997</v>
      </c>
      <c r="N24" s="35">
        <f t="shared" si="9"/>
        <v>53.744999999999997</v>
      </c>
    </row>
    <row r="25" spans="2:26" s="16" customFormat="1" x14ac:dyDescent="0.25">
      <c r="B25" s="235"/>
      <c r="C25" s="21" t="s">
        <v>167</v>
      </c>
      <c r="D25" s="6" t="s">
        <v>168</v>
      </c>
      <c r="E25" s="88">
        <v>150</v>
      </c>
      <c r="F25" s="31">
        <v>150</v>
      </c>
      <c r="G25" s="22">
        <f>E25*0.4/100</f>
        <v>0.6</v>
      </c>
      <c r="H25" s="33">
        <f>F25*0.4/100</f>
        <v>0.6</v>
      </c>
      <c r="I25" s="22">
        <f>E25*0.4/100</f>
        <v>0.6</v>
      </c>
      <c r="J25" s="33">
        <f>F25*0.4/100</f>
        <v>0.6</v>
      </c>
      <c r="K25" s="22">
        <f>E25*9.8/100</f>
        <v>14.7</v>
      </c>
      <c r="L25" s="33">
        <f>F25*9.8/100</f>
        <v>14.7</v>
      </c>
      <c r="M25" s="22">
        <f t="shared" ref="M25" si="10">G25*4+I25*9+K25*4</f>
        <v>66.599999999999994</v>
      </c>
      <c r="N25" s="35">
        <f t="shared" ref="N25" si="11">H25*4+J25*9+L25*4</f>
        <v>66.599999999999994</v>
      </c>
    </row>
    <row r="26" spans="2:26" x14ac:dyDescent="0.25">
      <c r="B26" s="235"/>
      <c r="C26" s="21" t="s">
        <v>87</v>
      </c>
      <c r="D26" s="6" t="s">
        <v>88</v>
      </c>
      <c r="E26" s="63">
        <v>40</v>
      </c>
      <c r="F26" s="64">
        <v>40</v>
      </c>
      <c r="G26" s="22">
        <f>E26*7.6/100</f>
        <v>3.04</v>
      </c>
      <c r="H26" s="33">
        <f>F26*7.6/100</f>
        <v>3.04</v>
      </c>
      <c r="I26" s="22">
        <f>E26*0.8/100</f>
        <v>0.32</v>
      </c>
      <c r="J26" s="33">
        <f>F26*0.8/100</f>
        <v>0.32</v>
      </c>
      <c r="K26" s="22">
        <f>E26*49.2/100</f>
        <v>19.68</v>
      </c>
      <c r="L26" s="33">
        <f>F26*49.2/100</f>
        <v>19.68</v>
      </c>
      <c r="M26" s="22">
        <f t="shared" ref="M26:N27" si="12">G26*4+I26*9+K26*4</f>
        <v>93.759999999999991</v>
      </c>
      <c r="N26" s="35">
        <f t="shared" si="12"/>
        <v>93.759999999999991</v>
      </c>
    </row>
    <row r="27" spans="2:26" s="16" customFormat="1" x14ac:dyDescent="0.25">
      <c r="B27" s="235"/>
      <c r="C27" s="20" t="s">
        <v>63</v>
      </c>
      <c r="D27" s="9" t="s">
        <v>64</v>
      </c>
      <c r="E27" s="88">
        <v>200</v>
      </c>
      <c r="F27" s="31">
        <v>200</v>
      </c>
      <c r="G27" s="22">
        <f>E27*1.65/100</f>
        <v>3.3</v>
      </c>
      <c r="H27" s="33">
        <f>F27*1.65/100</f>
        <v>3.3</v>
      </c>
      <c r="I27" s="22">
        <f>E27*1.45/100</f>
        <v>2.9</v>
      </c>
      <c r="J27" s="33">
        <f>F27*1.45/100</f>
        <v>2.9</v>
      </c>
      <c r="K27" s="22">
        <f>E27*6.9/100</f>
        <v>13.8</v>
      </c>
      <c r="L27" s="33">
        <f>F27*6.9/100</f>
        <v>13.8</v>
      </c>
      <c r="M27" s="22">
        <f t="shared" si="12"/>
        <v>94.5</v>
      </c>
      <c r="N27" s="35">
        <f t="shared" si="12"/>
        <v>94.5</v>
      </c>
    </row>
    <row r="28" spans="2:26" x14ac:dyDescent="0.25">
      <c r="B28" s="235"/>
      <c r="C28" s="26"/>
      <c r="D28" s="4" t="s">
        <v>13</v>
      </c>
      <c r="E28" s="24">
        <f t="shared" ref="E28:L28" si="13">SUM(E23:E27)</f>
        <v>555</v>
      </c>
      <c r="F28" s="32">
        <f t="shared" si="13"/>
        <v>605</v>
      </c>
      <c r="G28" s="7">
        <f t="shared" si="13"/>
        <v>14.170000000000002</v>
      </c>
      <c r="H28" s="34">
        <f t="shared" si="13"/>
        <v>15.420000000000002</v>
      </c>
      <c r="I28" s="7">
        <f t="shared" si="13"/>
        <v>13.045</v>
      </c>
      <c r="J28" s="34">
        <f t="shared" si="13"/>
        <v>14.645</v>
      </c>
      <c r="K28" s="7">
        <f t="shared" si="13"/>
        <v>68.355000000000004</v>
      </c>
      <c r="L28" s="34">
        <f t="shared" si="13"/>
        <v>75.100000000000009</v>
      </c>
      <c r="M28" s="7">
        <f t="shared" ref="M28:N28" si="14">G28*4+I28*9+K28*4</f>
        <v>447.505</v>
      </c>
      <c r="N28" s="36">
        <f t="shared" si="14"/>
        <v>493.88500000000005</v>
      </c>
    </row>
    <row r="29" spans="2:26" x14ac:dyDescent="0.25">
      <c r="B29" s="235"/>
      <c r="C29" s="231" t="s">
        <v>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3"/>
    </row>
    <row r="30" spans="2:26" x14ac:dyDescent="0.25">
      <c r="B30" s="235"/>
      <c r="C30" s="57" t="s">
        <v>184</v>
      </c>
      <c r="D30" s="9" t="s">
        <v>185</v>
      </c>
      <c r="E30" s="130">
        <v>60</v>
      </c>
      <c r="F30" s="37">
        <v>100</v>
      </c>
      <c r="G30" s="22">
        <f>E30*1.67/100</f>
        <v>1.0019999999999998</v>
      </c>
      <c r="H30" s="33">
        <f>F30*1.67/100</f>
        <v>1.67</v>
      </c>
      <c r="I30" s="22">
        <f>E30*10.2/100</f>
        <v>6.12</v>
      </c>
      <c r="J30" s="33">
        <f>F30*10.2/100</f>
        <v>10.199999999999999</v>
      </c>
      <c r="K30" s="22">
        <f>E30*7.95/100</f>
        <v>4.7699999999999996</v>
      </c>
      <c r="L30" s="33">
        <f>F30*7.95/100</f>
        <v>7.95</v>
      </c>
      <c r="M30" s="23">
        <f t="shared" ref="M30:N32" si="15">G30*4+I30*9+K30*4</f>
        <v>78.167999999999992</v>
      </c>
      <c r="N30" s="41">
        <f t="shared" si="15"/>
        <v>130.28</v>
      </c>
    </row>
    <row r="31" spans="2:26" s="16" customFormat="1" ht="17.25" customHeight="1" x14ac:dyDescent="0.25">
      <c r="B31" s="235"/>
      <c r="C31" s="20" t="s">
        <v>19</v>
      </c>
      <c r="D31" s="8" t="s">
        <v>91</v>
      </c>
      <c r="E31" s="131">
        <v>200</v>
      </c>
      <c r="F31" s="43">
        <v>250</v>
      </c>
      <c r="G31" s="23">
        <f>E31*2.9/250</f>
        <v>2.3199999999999998</v>
      </c>
      <c r="H31" s="44">
        <f>F31*2.9/250</f>
        <v>2.9</v>
      </c>
      <c r="I31" s="23">
        <f>E31*2.5/250</f>
        <v>2</v>
      </c>
      <c r="J31" s="44">
        <f>F31*2.5/250</f>
        <v>2.5</v>
      </c>
      <c r="K31" s="23">
        <f>E31*21/250</f>
        <v>16.8</v>
      </c>
      <c r="L31" s="44">
        <f>F31*21/250</f>
        <v>21</v>
      </c>
      <c r="M31" s="23">
        <f t="shared" si="15"/>
        <v>94.48</v>
      </c>
      <c r="N31" s="41">
        <f t="shared" si="15"/>
        <v>118.1</v>
      </c>
    </row>
    <row r="32" spans="2:26" s="16" customFormat="1" x14ac:dyDescent="0.25">
      <c r="B32" s="235"/>
      <c r="C32" s="20" t="s">
        <v>186</v>
      </c>
      <c r="D32" s="8" t="s">
        <v>187</v>
      </c>
      <c r="E32" s="130">
        <v>230</v>
      </c>
      <c r="F32" s="31">
        <v>250</v>
      </c>
      <c r="G32" s="22">
        <f>E32*7.31/100</f>
        <v>16.812999999999999</v>
      </c>
      <c r="H32" s="33">
        <f>F32*7.31/100</f>
        <v>18.274999999999999</v>
      </c>
      <c r="I32" s="130">
        <f>E32*9.9/100</f>
        <v>22.77</v>
      </c>
      <c r="J32" s="33">
        <f>F32*9.9/100</f>
        <v>24.75</v>
      </c>
      <c r="K32" s="22">
        <f>E32*6.27/100</f>
        <v>14.420999999999999</v>
      </c>
      <c r="L32" s="33">
        <f>F32*6.27/100</f>
        <v>15.675000000000001</v>
      </c>
      <c r="M32" s="22">
        <f t="shared" si="15"/>
        <v>329.86599999999999</v>
      </c>
      <c r="N32" s="35">
        <f t="shared" si="15"/>
        <v>358.55</v>
      </c>
    </row>
    <row r="33" spans="2:14" x14ac:dyDescent="0.25">
      <c r="B33" s="235"/>
      <c r="C33" s="21" t="s">
        <v>82</v>
      </c>
      <c r="D33" s="6" t="s">
        <v>83</v>
      </c>
      <c r="E33" s="88">
        <v>200</v>
      </c>
      <c r="F33" s="31">
        <v>200</v>
      </c>
      <c r="G33" s="22">
        <f>E33*0.5/100</f>
        <v>1</v>
      </c>
      <c r="H33" s="33">
        <f>F33*0.5/100</f>
        <v>1</v>
      </c>
      <c r="I33" s="22">
        <f>E33*0.1/100</f>
        <v>0.2</v>
      </c>
      <c r="J33" s="33">
        <f>F33*0.1/100</f>
        <v>0.2</v>
      </c>
      <c r="K33" s="22">
        <f>E33*10.1/100</f>
        <v>20.2</v>
      </c>
      <c r="L33" s="33">
        <f>F33*10.1/100</f>
        <v>20.2</v>
      </c>
      <c r="M33" s="22">
        <f t="shared" ref="M33:N33" si="16">G33*4+I33*9+K33*4</f>
        <v>86.6</v>
      </c>
      <c r="N33" s="35">
        <f t="shared" si="16"/>
        <v>86.6</v>
      </c>
    </row>
    <row r="34" spans="2:14" x14ac:dyDescent="0.25">
      <c r="B34" s="235"/>
      <c r="C34" s="21" t="s">
        <v>86</v>
      </c>
      <c r="D34" s="6" t="s">
        <v>23</v>
      </c>
      <c r="E34" s="63">
        <v>30</v>
      </c>
      <c r="F34" s="64">
        <v>30</v>
      </c>
      <c r="G34" s="22">
        <f>E34*8/100</f>
        <v>2.4</v>
      </c>
      <c r="H34" s="33">
        <f>F34*8/100</f>
        <v>2.4</v>
      </c>
      <c r="I34" s="22">
        <f>E34*1.5/100</f>
        <v>0.45</v>
      </c>
      <c r="J34" s="33">
        <f>F34*1.5/100</f>
        <v>0.45</v>
      </c>
      <c r="K34" s="22">
        <f>E34*40.1/100</f>
        <v>12.03</v>
      </c>
      <c r="L34" s="33">
        <f>F34*40.1/100</f>
        <v>12.03</v>
      </c>
      <c r="M34" s="22">
        <f t="shared" ref="M34:N35" si="17">G34*4+I34*9+K34*4</f>
        <v>61.769999999999996</v>
      </c>
      <c r="N34" s="35">
        <f t="shared" si="17"/>
        <v>61.769999999999996</v>
      </c>
    </row>
    <row r="35" spans="2:14" x14ac:dyDescent="0.25">
      <c r="B35" s="235"/>
      <c r="C35" s="21" t="s">
        <v>87</v>
      </c>
      <c r="D35" s="6" t="s">
        <v>88</v>
      </c>
      <c r="E35" s="63">
        <v>50</v>
      </c>
      <c r="F35" s="64">
        <v>50</v>
      </c>
      <c r="G35" s="22">
        <f>E35*7.6/100</f>
        <v>3.8</v>
      </c>
      <c r="H35" s="33">
        <f>F35*7.6/100</f>
        <v>3.8</v>
      </c>
      <c r="I35" s="22">
        <f>E35*0.8/100</f>
        <v>0.4</v>
      </c>
      <c r="J35" s="33">
        <f>F35*0.8/100</f>
        <v>0.4</v>
      </c>
      <c r="K35" s="22">
        <f>E35*49.2/100</f>
        <v>24.6</v>
      </c>
      <c r="L35" s="33">
        <f>F35*49.2/100</f>
        <v>24.6</v>
      </c>
      <c r="M35" s="22">
        <f t="shared" si="17"/>
        <v>117.2</v>
      </c>
      <c r="N35" s="35">
        <f t="shared" si="17"/>
        <v>117.2</v>
      </c>
    </row>
    <row r="36" spans="2:14" x14ac:dyDescent="0.25">
      <c r="B36" s="235"/>
      <c r="C36" s="21"/>
      <c r="D36" s="4" t="s">
        <v>14</v>
      </c>
      <c r="E36" s="24">
        <f t="shared" ref="E36:N36" si="18">SUM(E30:E35)</f>
        <v>770</v>
      </c>
      <c r="F36" s="38">
        <f t="shared" si="18"/>
        <v>880</v>
      </c>
      <c r="G36" s="7">
        <f t="shared" si="18"/>
        <v>27.334999999999997</v>
      </c>
      <c r="H36" s="34">
        <f t="shared" si="18"/>
        <v>30.044999999999998</v>
      </c>
      <c r="I36" s="24">
        <f t="shared" si="18"/>
        <v>31.939999999999998</v>
      </c>
      <c r="J36" s="34">
        <f t="shared" si="18"/>
        <v>38.500000000000007</v>
      </c>
      <c r="K36" s="7">
        <f t="shared" si="18"/>
        <v>92.820999999999998</v>
      </c>
      <c r="L36" s="34">
        <f t="shared" si="18"/>
        <v>101.45500000000001</v>
      </c>
      <c r="M36" s="7">
        <f t="shared" si="18"/>
        <v>768.08400000000006</v>
      </c>
      <c r="N36" s="36">
        <f t="shared" si="18"/>
        <v>872.50000000000011</v>
      </c>
    </row>
    <row r="37" spans="2:14" ht="15" customHeight="1" thickBot="1" x14ac:dyDescent="0.3">
      <c r="B37" s="236"/>
      <c r="C37" s="25"/>
      <c r="D37" s="17" t="s">
        <v>12</v>
      </c>
      <c r="E37" s="18"/>
      <c r="F37" s="39"/>
      <c r="G37" s="19">
        <f t="shared" ref="G37:N37" si="19">G28+G36</f>
        <v>41.504999999999995</v>
      </c>
      <c r="H37" s="40">
        <f t="shared" si="19"/>
        <v>45.465000000000003</v>
      </c>
      <c r="I37" s="19">
        <f t="shared" si="19"/>
        <v>44.984999999999999</v>
      </c>
      <c r="J37" s="40">
        <f t="shared" si="19"/>
        <v>53.14500000000001</v>
      </c>
      <c r="K37" s="19">
        <f t="shared" si="19"/>
        <v>161.17599999999999</v>
      </c>
      <c r="L37" s="40">
        <f t="shared" si="19"/>
        <v>176.55500000000001</v>
      </c>
      <c r="M37" s="19">
        <f t="shared" si="19"/>
        <v>1215.5889999999999</v>
      </c>
      <c r="N37" s="42">
        <f t="shared" si="19"/>
        <v>1366.3850000000002</v>
      </c>
    </row>
    <row r="38" spans="2:14" ht="15" customHeight="1" x14ac:dyDescent="0.25">
      <c r="B38" s="228" t="s">
        <v>241</v>
      </c>
      <c r="C38" s="202" t="s">
        <v>8</v>
      </c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4"/>
    </row>
    <row r="39" spans="2:14" s="16" customFormat="1" ht="15.75" customHeight="1" x14ac:dyDescent="0.25">
      <c r="B39" s="229"/>
      <c r="C39" s="20" t="s">
        <v>196</v>
      </c>
      <c r="D39" s="8" t="s">
        <v>197</v>
      </c>
      <c r="E39" s="88">
        <v>150</v>
      </c>
      <c r="F39" s="30">
        <v>200</v>
      </c>
      <c r="G39" s="22">
        <f>E39*3.62/100</f>
        <v>5.43</v>
      </c>
      <c r="H39" s="33">
        <f>F39*3.62/100</f>
        <v>7.24</v>
      </c>
      <c r="I39" s="22">
        <f>E39*3.32/100</f>
        <v>4.9800000000000004</v>
      </c>
      <c r="J39" s="33">
        <f>F39*3.32/100</f>
        <v>6.64</v>
      </c>
      <c r="K39" s="22">
        <f>E39*16.56/100</f>
        <v>24.84</v>
      </c>
      <c r="L39" s="33">
        <f>F39*16.56/100</f>
        <v>33.119999999999997</v>
      </c>
      <c r="M39" s="22">
        <f t="shared" ref="M39:N40" si="20">G39*4+I39*9+K39*4</f>
        <v>165.9</v>
      </c>
      <c r="N39" s="35">
        <f t="shared" si="20"/>
        <v>221.2</v>
      </c>
    </row>
    <row r="40" spans="2:14" s="16" customFormat="1" ht="15.75" customHeight="1" x14ac:dyDescent="0.25">
      <c r="B40" s="229"/>
      <c r="C40" s="21" t="s">
        <v>182</v>
      </c>
      <c r="D40" s="120" t="s">
        <v>183</v>
      </c>
      <c r="E40" s="88">
        <v>15</v>
      </c>
      <c r="F40" s="118">
        <v>20</v>
      </c>
      <c r="G40" s="121">
        <f>E40*0/10</f>
        <v>0</v>
      </c>
      <c r="H40" s="122">
        <f>F40*0/10</f>
        <v>0</v>
      </c>
      <c r="I40" s="121">
        <f>E40*0/10</f>
        <v>0</v>
      </c>
      <c r="J40" s="122">
        <f>F40*0/10</f>
        <v>0</v>
      </c>
      <c r="K40" s="22">
        <f>E40*61/100</f>
        <v>9.15</v>
      </c>
      <c r="L40" s="33">
        <f>F40*61/100</f>
        <v>12.2</v>
      </c>
      <c r="M40" s="22">
        <f t="shared" si="20"/>
        <v>36.6</v>
      </c>
      <c r="N40" s="35">
        <f t="shared" si="20"/>
        <v>48.8</v>
      </c>
    </row>
    <row r="41" spans="2:14" s="16" customFormat="1" ht="15.75" customHeight="1" x14ac:dyDescent="0.25">
      <c r="B41" s="229"/>
      <c r="C41" s="21" t="s">
        <v>167</v>
      </c>
      <c r="D41" s="6" t="s">
        <v>168</v>
      </c>
      <c r="E41" s="88">
        <v>150</v>
      </c>
      <c r="F41" s="31">
        <v>150</v>
      </c>
      <c r="G41" s="22">
        <f>E41*0.4/100</f>
        <v>0.6</v>
      </c>
      <c r="H41" s="33">
        <f>F41*0.4/100</f>
        <v>0.6</v>
      </c>
      <c r="I41" s="22">
        <f>E41*0.4/100</f>
        <v>0.6</v>
      </c>
      <c r="J41" s="33">
        <f>F41*0.4/100</f>
        <v>0.6</v>
      </c>
      <c r="K41" s="22">
        <f>E41*9.8/100</f>
        <v>14.7</v>
      </c>
      <c r="L41" s="33">
        <f>F41*9.8/100</f>
        <v>14.7</v>
      </c>
      <c r="M41" s="22">
        <f t="shared" ref="M41" si="21">G41*4+I41*9+K41*4</f>
        <v>66.599999999999994</v>
      </c>
      <c r="N41" s="35">
        <f t="shared" ref="N41" si="22">H41*4+J41*9+L41*4</f>
        <v>66.599999999999994</v>
      </c>
    </row>
    <row r="42" spans="2:14" ht="15.75" customHeight="1" x14ac:dyDescent="0.25">
      <c r="B42" s="229"/>
      <c r="C42" s="21" t="s">
        <v>87</v>
      </c>
      <c r="D42" s="6" t="s">
        <v>88</v>
      </c>
      <c r="E42" s="63">
        <v>40</v>
      </c>
      <c r="F42" s="64">
        <v>40</v>
      </c>
      <c r="G42" s="22">
        <f>E42*7.6/100</f>
        <v>3.04</v>
      </c>
      <c r="H42" s="33">
        <f>F42*7.6/100</f>
        <v>3.04</v>
      </c>
      <c r="I42" s="22">
        <f>E42*0.8/100</f>
        <v>0.32</v>
      </c>
      <c r="J42" s="33">
        <f>F42*0.8/100</f>
        <v>0.32</v>
      </c>
      <c r="K42" s="22">
        <f>E42*49.2/100</f>
        <v>19.68</v>
      </c>
      <c r="L42" s="33">
        <f>F42*49.2/100</f>
        <v>19.68</v>
      </c>
      <c r="M42" s="22">
        <f t="shared" ref="M42:N43" si="23">G42*4+I42*9+K42*4</f>
        <v>93.759999999999991</v>
      </c>
      <c r="N42" s="35">
        <f t="shared" si="23"/>
        <v>93.759999999999991</v>
      </c>
    </row>
    <row r="43" spans="2:14" s="16" customFormat="1" ht="15.75" customHeight="1" x14ac:dyDescent="0.25">
      <c r="B43" s="229"/>
      <c r="C43" s="20" t="s">
        <v>80</v>
      </c>
      <c r="D43" s="9" t="s">
        <v>81</v>
      </c>
      <c r="E43" s="88">
        <v>200</v>
      </c>
      <c r="F43" s="31">
        <v>200</v>
      </c>
      <c r="G43" s="22">
        <f>E43*1.4/200</f>
        <v>1.4</v>
      </c>
      <c r="H43" s="33">
        <f>F43*1.4/200</f>
        <v>1.4</v>
      </c>
      <c r="I43" s="22">
        <f>E43*1.2/200</f>
        <v>1.2</v>
      </c>
      <c r="J43" s="33">
        <f>F43*1.2/200</f>
        <v>1.2</v>
      </c>
      <c r="K43" s="22">
        <f>E43*11.4/200</f>
        <v>11.4</v>
      </c>
      <c r="L43" s="33">
        <f>F43*11.4/200</f>
        <v>11.4</v>
      </c>
      <c r="M43" s="22">
        <f t="shared" si="23"/>
        <v>62</v>
      </c>
      <c r="N43" s="35">
        <f t="shared" si="23"/>
        <v>62</v>
      </c>
    </row>
    <row r="44" spans="2:14" s="16" customFormat="1" ht="15.75" customHeight="1" x14ac:dyDescent="0.25">
      <c r="B44" s="229"/>
      <c r="C44" s="26"/>
      <c r="D44" s="4" t="s">
        <v>13</v>
      </c>
      <c r="E44" s="24">
        <f t="shared" ref="E44:L44" si="24">SUM(E39:E43)</f>
        <v>555</v>
      </c>
      <c r="F44" s="32">
        <f t="shared" si="24"/>
        <v>610</v>
      </c>
      <c r="G44" s="7">
        <f t="shared" si="24"/>
        <v>10.47</v>
      </c>
      <c r="H44" s="34">
        <f t="shared" si="24"/>
        <v>12.28</v>
      </c>
      <c r="I44" s="7">
        <f t="shared" si="24"/>
        <v>7.1000000000000005</v>
      </c>
      <c r="J44" s="34">
        <f t="shared" si="24"/>
        <v>8.76</v>
      </c>
      <c r="K44" s="7">
        <f t="shared" si="24"/>
        <v>79.77000000000001</v>
      </c>
      <c r="L44" s="34">
        <f t="shared" si="24"/>
        <v>91.1</v>
      </c>
      <c r="M44" s="7">
        <f t="shared" ref="M44" si="25">G44*4+I44*9+K44*4</f>
        <v>424.86</v>
      </c>
      <c r="N44" s="36">
        <f t="shared" ref="N44" si="26">H44*4+J44*9+L44*4</f>
        <v>492.36</v>
      </c>
    </row>
    <row r="45" spans="2:14" x14ac:dyDescent="0.25">
      <c r="B45" s="229"/>
      <c r="C45" s="231" t="s">
        <v>9</v>
      </c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3"/>
    </row>
    <row r="46" spans="2:14" x14ac:dyDescent="0.25">
      <c r="B46" s="229"/>
      <c r="C46" s="20" t="s">
        <v>226</v>
      </c>
      <c r="D46" s="6" t="s">
        <v>227</v>
      </c>
      <c r="E46" s="130">
        <v>60</v>
      </c>
      <c r="F46" s="37">
        <v>100</v>
      </c>
      <c r="G46" s="22">
        <f>E46*1.45/100</f>
        <v>0.87</v>
      </c>
      <c r="H46" s="33">
        <f>F46*1.45/100</f>
        <v>1.45</v>
      </c>
      <c r="I46" s="22">
        <f>E46*6/100</f>
        <v>3.6</v>
      </c>
      <c r="J46" s="33">
        <f>F46*6/100</f>
        <v>6</v>
      </c>
      <c r="K46" s="22">
        <f>E46*8.4/100</f>
        <v>5.04</v>
      </c>
      <c r="L46" s="33">
        <f>F46*8.4/100</f>
        <v>8.4</v>
      </c>
      <c r="M46" s="23">
        <f t="shared" ref="M46:N46" si="27">G46*4+I46*9+K46*4</f>
        <v>56.039999999999992</v>
      </c>
      <c r="N46" s="41">
        <f t="shared" si="27"/>
        <v>93.4</v>
      </c>
    </row>
    <row r="47" spans="2:14" s="16" customFormat="1" x14ac:dyDescent="0.25">
      <c r="B47" s="229"/>
      <c r="C47" s="59" t="s">
        <v>198</v>
      </c>
      <c r="D47" s="124" t="s">
        <v>199</v>
      </c>
      <c r="E47" s="87">
        <v>200</v>
      </c>
      <c r="F47" s="43">
        <v>250</v>
      </c>
      <c r="G47" s="22">
        <f>E47*1.6/100</f>
        <v>3.2</v>
      </c>
      <c r="H47" s="33">
        <f>F47*1.6/100</f>
        <v>4</v>
      </c>
      <c r="I47" s="22">
        <f>E47*1.4/100</f>
        <v>2.8</v>
      </c>
      <c r="J47" s="33">
        <f>F47*1.4/100</f>
        <v>3.5</v>
      </c>
      <c r="K47" s="22">
        <f>E47*3.78/100</f>
        <v>7.56</v>
      </c>
      <c r="L47" s="33">
        <f>F47*3.78/100</f>
        <v>9.4499999999999993</v>
      </c>
      <c r="M47" s="23">
        <f t="shared" ref="M47:N49" si="28">G47*4+I47*9+K47*4</f>
        <v>68.239999999999995</v>
      </c>
      <c r="N47" s="41">
        <f t="shared" si="28"/>
        <v>85.3</v>
      </c>
    </row>
    <row r="48" spans="2:14" x14ac:dyDescent="0.25">
      <c r="B48" s="229"/>
      <c r="C48" s="21" t="s">
        <v>200</v>
      </c>
      <c r="D48" s="6" t="s">
        <v>201</v>
      </c>
      <c r="E48" s="88">
        <v>230</v>
      </c>
      <c r="F48" s="31">
        <v>250</v>
      </c>
      <c r="G48" s="22">
        <f>E48*8.1/100</f>
        <v>18.63</v>
      </c>
      <c r="H48" s="33">
        <f>F48*8.1/100</f>
        <v>20.25</v>
      </c>
      <c r="I48" s="88">
        <f>E48*7.9/100</f>
        <v>18.170000000000002</v>
      </c>
      <c r="J48" s="31">
        <f>F48*7.9/100</f>
        <v>19.75</v>
      </c>
      <c r="K48" s="22">
        <f>E48*18.1/100</f>
        <v>41.63</v>
      </c>
      <c r="L48" s="33">
        <f>F48*18.1/100</f>
        <v>45.25</v>
      </c>
      <c r="M48" s="22">
        <f t="shared" si="28"/>
        <v>404.57000000000005</v>
      </c>
      <c r="N48" s="35">
        <f t="shared" si="28"/>
        <v>439.75</v>
      </c>
    </row>
    <row r="49" spans="2:14" x14ac:dyDescent="0.25">
      <c r="B49" s="229"/>
      <c r="C49" s="20" t="s">
        <v>52</v>
      </c>
      <c r="D49" s="9" t="s">
        <v>53</v>
      </c>
      <c r="E49" s="88">
        <v>200</v>
      </c>
      <c r="F49" s="31">
        <v>200</v>
      </c>
      <c r="G49" s="22">
        <f>E49*0.6/200</f>
        <v>0.6</v>
      </c>
      <c r="H49" s="33">
        <f>F49*0.6/200</f>
        <v>0.6</v>
      </c>
      <c r="I49" s="22">
        <f t="shared" ref="I49:J49" si="29">E49*0.1/200</f>
        <v>0.1</v>
      </c>
      <c r="J49" s="33">
        <f t="shared" si="29"/>
        <v>0.1</v>
      </c>
      <c r="K49" s="22">
        <f>E49*20.1/200</f>
        <v>20.100000000000001</v>
      </c>
      <c r="L49" s="33">
        <f>F49*20.1/200</f>
        <v>20.100000000000001</v>
      </c>
      <c r="M49" s="22">
        <f t="shared" si="28"/>
        <v>83.7</v>
      </c>
      <c r="N49" s="35">
        <f t="shared" si="28"/>
        <v>83.7</v>
      </c>
    </row>
    <row r="50" spans="2:14" x14ac:dyDescent="0.25">
      <c r="B50" s="229"/>
      <c r="C50" s="21" t="s">
        <v>86</v>
      </c>
      <c r="D50" s="6" t="s">
        <v>23</v>
      </c>
      <c r="E50" s="63">
        <v>30</v>
      </c>
      <c r="F50" s="64">
        <v>30</v>
      </c>
      <c r="G50" s="22">
        <f>E50*8/100</f>
        <v>2.4</v>
      </c>
      <c r="H50" s="33">
        <f>F50*8/100</f>
        <v>2.4</v>
      </c>
      <c r="I50" s="22">
        <f>E50*1.5/100</f>
        <v>0.45</v>
      </c>
      <c r="J50" s="33">
        <f>F50*1.5/100</f>
        <v>0.45</v>
      </c>
      <c r="K50" s="22">
        <f>E50*40.1/100</f>
        <v>12.03</v>
      </c>
      <c r="L50" s="33">
        <f>F50*40.1/100</f>
        <v>12.03</v>
      </c>
      <c r="M50" s="22">
        <f t="shared" ref="M50:N51" si="30">G50*4+I50*9+K50*4</f>
        <v>61.769999999999996</v>
      </c>
      <c r="N50" s="35">
        <f t="shared" si="30"/>
        <v>61.769999999999996</v>
      </c>
    </row>
    <row r="51" spans="2:14" x14ac:dyDescent="0.25">
      <c r="B51" s="229"/>
      <c r="C51" s="21" t="s">
        <v>87</v>
      </c>
      <c r="D51" s="6" t="s">
        <v>88</v>
      </c>
      <c r="E51" s="63">
        <v>50</v>
      </c>
      <c r="F51" s="64">
        <v>50</v>
      </c>
      <c r="G51" s="22">
        <f>E51*7.6/100</f>
        <v>3.8</v>
      </c>
      <c r="H51" s="33">
        <f>F51*7.6/100</f>
        <v>3.8</v>
      </c>
      <c r="I51" s="22">
        <f>E51*0.8/100</f>
        <v>0.4</v>
      </c>
      <c r="J51" s="33">
        <f>F51*0.8/100</f>
        <v>0.4</v>
      </c>
      <c r="K51" s="22">
        <f>E51*49.2/100</f>
        <v>24.6</v>
      </c>
      <c r="L51" s="33">
        <f>F51*49.2/100</f>
        <v>24.6</v>
      </c>
      <c r="M51" s="22">
        <f t="shared" si="30"/>
        <v>117.2</v>
      </c>
      <c r="N51" s="35">
        <f t="shared" si="30"/>
        <v>117.2</v>
      </c>
    </row>
    <row r="52" spans="2:14" x14ac:dyDescent="0.25">
      <c r="B52" s="229"/>
      <c r="C52" s="21"/>
      <c r="D52" s="4" t="s">
        <v>14</v>
      </c>
      <c r="E52" s="24">
        <f t="shared" ref="E52:N52" si="31">SUM(E46:E51)</f>
        <v>770</v>
      </c>
      <c r="F52" s="38">
        <f t="shared" si="31"/>
        <v>880</v>
      </c>
      <c r="G52" s="7">
        <f t="shared" si="31"/>
        <v>29.5</v>
      </c>
      <c r="H52" s="34">
        <f t="shared" si="31"/>
        <v>32.5</v>
      </c>
      <c r="I52" s="24">
        <f t="shared" si="31"/>
        <v>25.52</v>
      </c>
      <c r="J52" s="34">
        <f t="shared" si="31"/>
        <v>30.2</v>
      </c>
      <c r="K52" s="7">
        <f t="shared" si="31"/>
        <v>110.96000000000001</v>
      </c>
      <c r="L52" s="34">
        <f t="shared" si="31"/>
        <v>119.83000000000001</v>
      </c>
      <c r="M52" s="7">
        <f t="shared" si="31"/>
        <v>791.5200000000001</v>
      </c>
      <c r="N52" s="36">
        <f t="shared" si="31"/>
        <v>881.12000000000012</v>
      </c>
    </row>
    <row r="53" spans="2:14" ht="15.75" thickBot="1" x14ac:dyDescent="0.3">
      <c r="B53" s="230"/>
      <c r="C53" s="25"/>
      <c r="D53" s="17" t="s">
        <v>12</v>
      </c>
      <c r="E53" s="18"/>
      <c r="F53" s="39"/>
      <c r="G53" s="19">
        <f t="shared" ref="G53:N53" si="32">G44+G52</f>
        <v>39.97</v>
      </c>
      <c r="H53" s="40">
        <f t="shared" si="32"/>
        <v>44.78</v>
      </c>
      <c r="I53" s="19">
        <f t="shared" si="32"/>
        <v>32.619999999999997</v>
      </c>
      <c r="J53" s="40">
        <f t="shared" si="32"/>
        <v>38.96</v>
      </c>
      <c r="K53" s="19">
        <f t="shared" si="32"/>
        <v>190.73000000000002</v>
      </c>
      <c r="L53" s="40">
        <f t="shared" si="32"/>
        <v>210.93</v>
      </c>
      <c r="M53" s="19">
        <f t="shared" si="32"/>
        <v>1216.3800000000001</v>
      </c>
      <c r="N53" s="42">
        <f t="shared" si="32"/>
        <v>1373.48</v>
      </c>
    </row>
    <row r="54" spans="2:14" x14ac:dyDescent="0.25">
      <c r="J54" s="1"/>
    </row>
    <row r="55" spans="2:14" x14ac:dyDescent="0.25">
      <c r="D55" s="14" t="s">
        <v>25</v>
      </c>
    </row>
  </sheetData>
  <mergeCells count="19">
    <mergeCell ref="B2:E2"/>
    <mergeCell ref="B3:B5"/>
    <mergeCell ref="C3:C5"/>
    <mergeCell ref="D3:D5"/>
    <mergeCell ref="E3:F4"/>
    <mergeCell ref="M3:N4"/>
    <mergeCell ref="G4:H4"/>
    <mergeCell ref="I4:J4"/>
    <mergeCell ref="K4:L4"/>
    <mergeCell ref="G3:L3"/>
    <mergeCell ref="B38:B53"/>
    <mergeCell ref="C45:N45"/>
    <mergeCell ref="C6:N6"/>
    <mergeCell ref="C13:N13"/>
    <mergeCell ref="C22:N22"/>
    <mergeCell ref="C29:N29"/>
    <mergeCell ref="C38:N38"/>
    <mergeCell ref="B6:B21"/>
    <mergeCell ref="B22:B37"/>
  </mergeCells>
  <pageMargins left="0.23622047244094491" right="0.23622047244094491" top="0.19685039370078741" bottom="0.19685039370078741" header="0.31496062992125984" footer="0.31496062992125984"/>
  <pageSetup paperSize="9" scale="77" fitToHeight="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Z81"/>
  <sheetViews>
    <sheetView topLeftCell="A34" zoomScale="90" zoomScaleNormal="90" workbookViewId="0">
      <selection activeCell="G55" sqref="G55"/>
    </sheetView>
  </sheetViews>
  <sheetFormatPr defaultRowHeight="15" x14ac:dyDescent="0.25"/>
  <cols>
    <col min="1" max="1" width="5.7109375" style="14" customWidth="1"/>
    <col min="2" max="2" width="2.7109375" style="14" customWidth="1"/>
    <col min="3" max="3" width="10.5703125" style="14" customWidth="1"/>
    <col min="4" max="4" width="37" style="14" customWidth="1"/>
    <col min="5" max="6" width="7.28515625" style="14" customWidth="1"/>
    <col min="7" max="7" width="6.7109375" style="14" customWidth="1"/>
    <col min="8" max="8" width="6.85546875" style="14" customWidth="1"/>
    <col min="9" max="9" width="6.42578125" style="14" customWidth="1"/>
    <col min="10" max="10" width="6.5703125" style="14" customWidth="1"/>
    <col min="11" max="11" width="7.5703125" style="14" customWidth="1"/>
    <col min="12" max="12" width="7.42578125" style="14" customWidth="1"/>
    <col min="13" max="13" width="8.5703125" style="14" customWidth="1"/>
    <col min="14" max="14" width="7.5703125" style="14" customWidth="1"/>
    <col min="15" max="15" width="9" style="14" customWidth="1"/>
    <col min="16" max="16" width="7.28515625" style="14" customWidth="1"/>
    <col min="17" max="20" width="9.140625" style="14"/>
    <col min="21" max="21" width="19.7109375" style="14" customWidth="1"/>
    <col min="22" max="22" width="7.7109375" style="14" customWidth="1"/>
    <col min="23" max="23" width="9.140625" style="14"/>
    <col min="24" max="24" width="7.7109375" style="14" customWidth="1"/>
    <col min="25" max="16384" width="9.140625" style="14"/>
  </cols>
  <sheetData>
    <row r="1" spans="2:26" ht="22.5" customHeight="1" x14ac:dyDescent="0.25"/>
    <row r="2" spans="2:26" ht="15" customHeight="1" thickBot="1" x14ac:dyDescent="0.3">
      <c r="B2" s="205" t="s">
        <v>54</v>
      </c>
      <c r="C2" s="205"/>
      <c r="D2" s="205"/>
      <c r="E2" s="205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206" t="s">
        <v>44</v>
      </c>
      <c r="C3" s="217" t="s">
        <v>0</v>
      </c>
      <c r="D3" s="220" t="s">
        <v>1</v>
      </c>
      <c r="E3" s="223" t="s">
        <v>6</v>
      </c>
      <c r="F3" s="224"/>
      <c r="G3" s="227" t="s">
        <v>7</v>
      </c>
      <c r="H3" s="227"/>
      <c r="I3" s="227"/>
      <c r="J3" s="227"/>
      <c r="K3" s="227"/>
      <c r="L3" s="227"/>
      <c r="M3" s="192" t="s">
        <v>5</v>
      </c>
      <c r="N3" s="193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207"/>
      <c r="C4" s="218"/>
      <c r="D4" s="221"/>
      <c r="E4" s="225"/>
      <c r="F4" s="226"/>
      <c r="G4" s="196" t="s">
        <v>3</v>
      </c>
      <c r="H4" s="196"/>
      <c r="I4" s="194" t="s">
        <v>2</v>
      </c>
      <c r="J4" s="194"/>
      <c r="K4" s="196" t="s">
        <v>4</v>
      </c>
      <c r="L4" s="196"/>
      <c r="M4" s="194"/>
      <c r="N4" s="195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208"/>
      <c r="C5" s="219"/>
      <c r="D5" s="222"/>
      <c r="E5" s="27" t="s">
        <v>15</v>
      </c>
      <c r="F5" s="28" t="s">
        <v>49</v>
      </c>
      <c r="G5" s="27" t="s">
        <v>15</v>
      </c>
      <c r="H5" s="28" t="s">
        <v>49</v>
      </c>
      <c r="I5" s="27" t="s">
        <v>15</v>
      </c>
      <c r="J5" s="28" t="s">
        <v>49</v>
      </c>
      <c r="K5" s="27" t="s">
        <v>15</v>
      </c>
      <c r="L5" s="28" t="s">
        <v>49</v>
      </c>
      <c r="M5" s="27" t="s">
        <v>15</v>
      </c>
      <c r="N5" s="29" t="s">
        <v>49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x14ac:dyDescent="0.25">
      <c r="B6" s="212" t="s">
        <v>242</v>
      </c>
      <c r="C6" s="209" t="s">
        <v>8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1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213"/>
      <c r="C7" s="20" t="s">
        <v>66</v>
      </c>
      <c r="D7" s="8" t="s">
        <v>67</v>
      </c>
      <c r="E7" s="88">
        <v>150</v>
      </c>
      <c r="F7" s="30">
        <v>200</v>
      </c>
      <c r="G7" s="22">
        <f>E7*3.03/100</f>
        <v>4.544999999999999</v>
      </c>
      <c r="H7" s="33">
        <f>F7*3.03/100</f>
        <v>6.06</v>
      </c>
      <c r="I7" s="22">
        <f>E7*3.21/100</f>
        <v>4.8150000000000004</v>
      </c>
      <c r="J7" s="33">
        <f>F7*3.21/100</f>
        <v>6.42</v>
      </c>
      <c r="K7" s="22">
        <f>E7*15.23/100</f>
        <v>22.844999999999999</v>
      </c>
      <c r="L7" s="33">
        <f>F7*15.23/100</f>
        <v>30.46</v>
      </c>
      <c r="M7" s="22">
        <f t="shared" ref="M7:N9" si="0">G7*4+I7*9+K7*4</f>
        <v>152.89499999999998</v>
      </c>
      <c r="N7" s="35">
        <f t="shared" si="0"/>
        <v>203.86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s="16" customFormat="1" x14ac:dyDescent="0.25">
      <c r="B8" s="213"/>
      <c r="C8" s="119" t="s">
        <v>165</v>
      </c>
      <c r="D8" s="120" t="s">
        <v>166</v>
      </c>
      <c r="E8" s="88">
        <v>10</v>
      </c>
      <c r="F8" s="118">
        <v>10</v>
      </c>
      <c r="G8" s="22">
        <f>E8*23.2/100</f>
        <v>2.3199999999999998</v>
      </c>
      <c r="H8" s="33">
        <f>F8*23.2/100</f>
        <v>2.3199999999999998</v>
      </c>
      <c r="I8" s="22">
        <f>E8*29.5/100</f>
        <v>2.95</v>
      </c>
      <c r="J8" s="33">
        <f>F8*29.5/100</f>
        <v>2.95</v>
      </c>
      <c r="K8" s="22">
        <f>E8*0/100</f>
        <v>0</v>
      </c>
      <c r="L8" s="33">
        <f>F8*0/100</f>
        <v>0</v>
      </c>
      <c r="M8" s="22">
        <f t="shared" si="0"/>
        <v>35.83</v>
      </c>
      <c r="N8" s="35">
        <f t="shared" si="0"/>
        <v>35.83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s="16" customFormat="1" x14ac:dyDescent="0.25">
      <c r="B9" s="213"/>
      <c r="C9" s="21" t="s">
        <v>167</v>
      </c>
      <c r="D9" s="6" t="s">
        <v>168</v>
      </c>
      <c r="E9" s="88">
        <v>150</v>
      </c>
      <c r="F9" s="31">
        <v>150</v>
      </c>
      <c r="G9" s="22">
        <f>E9*0.4/100</f>
        <v>0.6</v>
      </c>
      <c r="H9" s="33">
        <f>F9*0.4/100</f>
        <v>0.6</v>
      </c>
      <c r="I9" s="22">
        <f>E9*0.4/100</f>
        <v>0.6</v>
      </c>
      <c r="J9" s="33">
        <f>F9*0.4/100</f>
        <v>0.6</v>
      </c>
      <c r="K9" s="22">
        <f>E9*9.8/100</f>
        <v>14.7</v>
      </c>
      <c r="L9" s="33">
        <f>F9*9.8/100</f>
        <v>14.7</v>
      </c>
      <c r="M9" s="22">
        <f t="shared" si="0"/>
        <v>66.599999999999994</v>
      </c>
      <c r="N9" s="35">
        <f t="shared" si="0"/>
        <v>66.599999999999994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25">
      <c r="B10" s="213"/>
      <c r="C10" s="21" t="s">
        <v>87</v>
      </c>
      <c r="D10" s="6" t="s">
        <v>88</v>
      </c>
      <c r="E10" s="63">
        <v>30</v>
      </c>
      <c r="F10" s="64">
        <v>40</v>
      </c>
      <c r="G10" s="22">
        <f>E10*7.6/100</f>
        <v>2.2799999999999998</v>
      </c>
      <c r="H10" s="33">
        <f>F10*7.6/100</f>
        <v>3.04</v>
      </c>
      <c r="I10" s="22">
        <f>E10*0.8/100</f>
        <v>0.24</v>
      </c>
      <c r="J10" s="33">
        <f>F10*0.8/100</f>
        <v>0.32</v>
      </c>
      <c r="K10" s="22">
        <f>E10*49.2/100</f>
        <v>14.76</v>
      </c>
      <c r="L10" s="33">
        <f>F10*49.2/100</f>
        <v>19.68</v>
      </c>
      <c r="M10" s="22">
        <f t="shared" ref="M10:N11" si="1">G10*4+I10*9+K10*4</f>
        <v>70.319999999999993</v>
      </c>
      <c r="N10" s="35">
        <f t="shared" si="1"/>
        <v>93.759999999999991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25">
      <c r="B11" s="213"/>
      <c r="C11" s="20" t="s">
        <v>51</v>
      </c>
      <c r="D11" s="9" t="s">
        <v>16</v>
      </c>
      <c r="E11" s="88">
        <v>200</v>
      </c>
      <c r="F11" s="31">
        <v>200</v>
      </c>
      <c r="G11" s="22">
        <f>E11*0.2/200</f>
        <v>0.2</v>
      </c>
      <c r="H11" s="33">
        <f>F11*0.2/200</f>
        <v>0.2</v>
      </c>
      <c r="I11" s="22">
        <f t="shared" ref="I11" si="2">E11*0.1/200</f>
        <v>0.1</v>
      </c>
      <c r="J11" s="33">
        <f t="shared" ref="J11" si="3">F11*0.1/200</f>
        <v>0.1</v>
      </c>
      <c r="K11" s="22">
        <f>E11*9.3/200</f>
        <v>9.3000000000000007</v>
      </c>
      <c r="L11" s="33">
        <f>F11*9.3/200</f>
        <v>9.3000000000000007</v>
      </c>
      <c r="M11" s="22">
        <f t="shared" si="1"/>
        <v>38.900000000000006</v>
      </c>
      <c r="N11" s="35">
        <f t="shared" si="1"/>
        <v>38.900000000000006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25">
      <c r="B12" s="213"/>
      <c r="C12" s="26"/>
      <c r="D12" s="4" t="s">
        <v>13</v>
      </c>
      <c r="E12" s="24">
        <f t="shared" ref="E12:L12" si="4">SUM(E7:E11)</f>
        <v>540</v>
      </c>
      <c r="F12" s="32">
        <f t="shared" si="4"/>
        <v>600</v>
      </c>
      <c r="G12" s="7">
        <f t="shared" si="4"/>
        <v>9.9449999999999967</v>
      </c>
      <c r="H12" s="34">
        <f t="shared" si="4"/>
        <v>12.219999999999999</v>
      </c>
      <c r="I12" s="7">
        <f t="shared" si="4"/>
        <v>8.7050000000000001</v>
      </c>
      <c r="J12" s="34">
        <f t="shared" si="4"/>
        <v>10.39</v>
      </c>
      <c r="K12" s="7">
        <f t="shared" si="4"/>
        <v>61.605000000000004</v>
      </c>
      <c r="L12" s="34">
        <f t="shared" si="4"/>
        <v>74.14</v>
      </c>
      <c r="M12" s="7">
        <f t="shared" ref="M12:N12" si="5">G12*4+I12*9+K12*4</f>
        <v>364.54500000000002</v>
      </c>
      <c r="N12" s="36">
        <f t="shared" si="5"/>
        <v>438.95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25">
      <c r="B13" s="213"/>
      <c r="C13" s="231" t="s">
        <v>9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3"/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s="16" customFormat="1" x14ac:dyDescent="0.25">
      <c r="B14" s="213"/>
      <c r="C14" s="20" t="s">
        <v>202</v>
      </c>
      <c r="D14" s="9" t="s">
        <v>203</v>
      </c>
      <c r="E14" s="87">
        <v>60</v>
      </c>
      <c r="F14" s="43">
        <v>100</v>
      </c>
      <c r="G14" s="23">
        <f>E14*1/100</f>
        <v>0.6</v>
      </c>
      <c r="H14" s="44">
        <f>F14*1/100</f>
        <v>1</v>
      </c>
      <c r="I14" s="23">
        <f>E14*6.1/100</f>
        <v>3.66</v>
      </c>
      <c r="J14" s="44">
        <f>F14*6.1/100</f>
        <v>6.1</v>
      </c>
      <c r="K14" s="23">
        <f>E14*3.5/100</f>
        <v>2.1</v>
      </c>
      <c r="L14" s="44">
        <f>F14*3.5/100</f>
        <v>3.5</v>
      </c>
      <c r="M14" s="23">
        <f t="shared" ref="M14:N17" si="6">G14*4+I14*9+K14*4</f>
        <v>43.739999999999995</v>
      </c>
      <c r="N14" s="41">
        <f t="shared" si="6"/>
        <v>72.900000000000006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s="16" customFormat="1" x14ac:dyDescent="0.25">
      <c r="B15" s="213"/>
      <c r="C15" s="20" t="s">
        <v>19</v>
      </c>
      <c r="D15" s="8" t="s">
        <v>91</v>
      </c>
      <c r="E15" s="87">
        <v>200</v>
      </c>
      <c r="F15" s="43">
        <v>250</v>
      </c>
      <c r="G15" s="23">
        <f>E15*2.9/250</f>
        <v>2.3199999999999998</v>
      </c>
      <c r="H15" s="44">
        <f>F15*2.9/250</f>
        <v>2.9</v>
      </c>
      <c r="I15" s="23">
        <f>E15*2.5/250</f>
        <v>2</v>
      </c>
      <c r="J15" s="44">
        <f>F15*2.5/250</f>
        <v>2.5</v>
      </c>
      <c r="K15" s="23">
        <f>E15*21/250</f>
        <v>16.8</v>
      </c>
      <c r="L15" s="44">
        <f>F15*21/250</f>
        <v>21</v>
      </c>
      <c r="M15" s="23">
        <f t="shared" si="6"/>
        <v>94.48</v>
      </c>
      <c r="N15" s="41">
        <f t="shared" si="6"/>
        <v>118.1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s="16" customFormat="1" x14ac:dyDescent="0.25">
      <c r="B16" s="213"/>
      <c r="C16" s="20" t="s">
        <v>204</v>
      </c>
      <c r="D16" s="8" t="s">
        <v>205</v>
      </c>
      <c r="E16" s="88">
        <v>150</v>
      </c>
      <c r="F16" s="31">
        <v>100</v>
      </c>
      <c r="G16" s="22">
        <f>E16*11/100</f>
        <v>16.5</v>
      </c>
      <c r="H16" s="33">
        <f>F16*11/100</f>
        <v>11</v>
      </c>
      <c r="I16" s="22">
        <f>E16*2.5/100</f>
        <v>3.75</v>
      </c>
      <c r="J16" s="33">
        <f>F16*2.5/100</f>
        <v>2.5</v>
      </c>
      <c r="K16" s="22">
        <f>E16*19.85/100</f>
        <v>29.774999999999999</v>
      </c>
      <c r="L16" s="33">
        <f>F16*19.85/100</f>
        <v>19.850000000000001</v>
      </c>
      <c r="M16" s="22">
        <f t="shared" si="6"/>
        <v>218.85</v>
      </c>
      <c r="N16" s="35">
        <f t="shared" si="6"/>
        <v>145.9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s="16" customFormat="1" x14ac:dyDescent="0.25">
      <c r="B17" s="213"/>
      <c r="C17" s="81" t="s">
        <v>97</v>
      </c>
      <c r="D17" s="51" t="s">
        <v>98</v>
      </c>
      <c r="E17" s="88">
        <v>90</v>
      </c>
      <c r="F17" s="31">
        <v>100</v>
      </c>
      <c r="G17" s="22">
        <f>E17*15.9/100</f>
        <v>14.31</v>
      </c>
      <c r="H17" s="33">
        <f>F17*15.9/100</f>
        <v>15.9</v>
      </c>
      <c r="I17" s="22">
        <f>E17*14.4/100</f>
        <v>12.96</v>
      </c>
      <c r="J17" s="33">
        <f>F17*14.4/100</f>
        <v>14.4</v>
      </c>
      <c r="K17" s="22">
        <f>E17*16/100</f>
        <v>14.4</v>
      </c>
      <c r="L17" s="33">
        <f>F17*16/100</f>
        <v>16</v>
      </c>
      <c r="M17" s="22">
        <f t="shared" si="6"/>
        <v>231.48000000000002</v>
      </c>
      <c r="N17" s="35">
        <f t="shared" si="6"/>
        <v>257.2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213"/>
      <c r="C18" s="20" t="s">
        <v>52</v>
      </c>
      <c r="D18" s="9" t="s">
        <v>53</v>
      </c>
      <c r="E18" s="88">
        <v>200</v>
      </c>
      <c r="F18" s="31">
        <v>200</v>
      </c>
      <c r="G18" s="22">
        <f>E18*0.6/200</f>
        <v>0.6</v>
      </c>
      <c r="H18" s="33">
        <f>F18*0.6/200</f>
        <v>0.6</v>
      </c>
      <c r="I18" s="22">
        <f t="shared" ref="I18:J18" si="7">E18*0.1/200</f>
        <v>0.1</v>
      </c>
      <c r="J18" s="33">
        <f t="shared" si="7"/>
        <v>0.1</v>
      </c>
      <c r="K18" s="22">
        <f>E18*20.1/200</f>
        <v>20.100000000000001</v>
      </c>
      <c r="L18" s="33">
        <f>F18*20.1/200</f>
        <v>20.100000000000001</v>
      </c>
      <c r="M18" s="22">
        <f t="shared" ref="M18:N20" si="8">G18*4+I18*9+K18*4</f>
        <v>83.7</v>
      </c>
      <c r="N18" s="35">
        <f t="shared" si="8"/>
        <v>83.7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213"/>
      <c r="C19" s="21" t="s">
        <v>86</v>
      </c>
      <c r="D19" s="6" t="s">
        <v>23</v>
      </c>
      <c r="E19" s="63">
        <v>30</v>
      </c>
      <c r="F19" s="64">
        <v>30</v>
      </c>
      <c r="G19" s="22">
        <f>E19*8/100</f>
        <v>2.4</v>
      </c>
      <c r="H19" s="33">
        <f>F19*8/100</f>
        <v>2.4</v>
      </c>
      <c r="I19" s="22">
        <f>E19*1.5/100</f>
        <v>0.45</v>
      </c>
      <c r="J19" s="33">
        <f>F19*1.5/100</f>
        <v>0.45</v>
      </c>
      <c r="K19" s="22">
        <f>E19*40.1/100</f>
        <v>12.03</v>
      </c>
      <c r="L19" s="33">
        <f>F19*40.1/100</f>
        <v>12.03</v>
      </c>
      <c r="M19" s="22">
        <f t="shared" si="8"/>
        <v>61.769999999999996</v>
      </c>
      <c r="N19" s="35">
        <f t="shared" si="8"/>
        <v>61.769999999999996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213"/>
      <c r="C20" s="21" t="s">
        <v>87</v>
      </c>
      <c r="D20" s="6" t="s">
        <v>88</v>
      </c>
      <c r="E20" s="63">
        <v>50</v>
      </c>
      <c r="F20" s="64">
        <v>50</v>
      </c>
      <c r="G20" s="22">
        <f>E20*7.6/100</f>
        <v>3.8</v>
      </c>
      <c r="H20" s="33">
        <f>F20*7.6/100</f>
        <v>3.8</v>
      </c>
      <c r="I20" s="22">
        <f>E20*0.8/100</f>
        <v>0.4</v>
      </c>
      <c r="J20" s="33">
        <f>F20*0.8/100</f>
        <v>0.4</v>
      </c>
      <c r="K20" s="22">
        <f>E20*49.2/100</f>
        <v>24.6</v>
      </c>
      <c r="L20" s="33">
        <f>F20*49.2/100</f>
        <v>24.6</v>
      </c>
      <c r="M20" s="22">
        <f t="shared" si="8"/>
        <v>117.2</v>
      </c>
      <c r="N20" s="35">
        <f t="shared" si="8"/>
        <v>117.2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213"/>
      <c r="C21" s="21"/>
      <c r="D21" s="4" t="s">
        <v>14</v>
      </c>
      <c r="E21" s="24">
        <f t="shared" ref="E21:N21" si="9">SUM(E14:E20)</f>
        <v>780</v>
      </c>
      <c r="F21" s="38">
        <f t="shared" si="9"/>
        <v>830</v>
      </c>
      <c r="G21" s="7">
        <f t="shared" si="9"/>
        <v>40.53</v>
      </c>
      <c r="H21" s="34">
        <f t="shared" si="9"/>
        <v>37.6</v>
      </c>
      <c r="I21" s="24">
        <f t="shared" si="9"/>
        <v>23.32</v>
      </c>
      <c r="J21" s="34">
        <f t="shared" si="9"/>
        <v>26.45</v>
      </c>
      <c r="K21" s="24">
        <f t="shared" si="9"/>
        <v>119.80500000000001</v>
      </c>
      <c r="L21" s="34">
        <f t="shared" si="9"/>
        <v>117.08000000000001</v>
      </c>
      <c r="M21" s="7">
        <f t="shared" si="9"/>
        <v>851.22</v>
      </c>
      <c r="N21" s="36">
        <f t="shared" si="9"/>
        <v>856.77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ht="15.75" thickBot="1" x14ac:dyDescent="0.3">
      <c r="B22" s="213"/>
      <c r="C22" s="66"/>
      <c r="D22" s="67" t="s">
        <v>12</v>
      </c>
      <c r="E22" s="71"/>
      <c r="F22" s="72"/>
      <c r="G22" s="68">
        <f t="shared" ref="G22:N22" si="10">G12+G21</f>
        <v>50.474999999999994</v>
      </c>
      <c r="H22" s="69">
        <f t="shared" si="10"/>
        <v>49.82</v>
      </c>
      <c r="I22" s="68">
        <f t="shared" si="10"/>
        <v>32.024999999999999</v>
      </c>
      <c r="J22" s="69">
        <f t="shared" si="10"/>
        <v>36.840000000000003</v>
      </c>
      <c r="K22" s="68">
        <f t="shared" si="10"/>
        <v>181.41000000000003</v>
      </c>
      <c r="L22" s="69">
        <f t="shared" si="10"/>
        <v>191.22000000000003</v>
      </c>
      <c r="M22" s="68">
        <f t="shared" si="10"/>
        <v>1215.7650000000001</v>
      </c>
      <c r="N22" s="70">
        <f t="shared" si="10"/>
        <v>1295.72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x14ac:dyDescent="0.25">
      <c r="B23" s="234" t="s">
        <v>243</v>
      </c>
      <c r="C23" s="209" t="s">
        <v>8</v>
      </c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1"/>
    </row>
    <row r="24" spans="2:26" x14ac:dyDescent="0.25">
      <c r="B24" s="235"/>
      <c r="C24" s="65" t="s">
        <v>62</v>
      </c>
      <c r="D24" s="51" t="s">
        <v>17</v>
      </c>
      <c r="E24" s="61">
        <v>150</v>
      </c>
      <c r="F24" s="31">
        <v>200</v>
      </c>
      <c r="G24" s="22">
        <f>E24*2.5/100</f>
        <v>3.75</v>
      </c>
      <c r="H24" s="33">
        <f>F24*2.5/100</f>
        <v>5</v>
      </c>
      <c r="I24" s="22">
        <f>E24*3.18/100</f>
        <v>4.7699999999999996</v>
      </c>
      <c r="J24" s="33">
        <f>F24*3.18/100</f>
        <v>6.36</v>
      </c>
      <c r="K24" s="22">
        <f>E24*15.7/100</f>
        <v>23.55</v>
      </c>
      <c r="L24" s="33">
        <f>F24*15.7/100</f>
        <v>31.4</v>
      </c>
      <c r="M24" s="22">
        <f t="shared" ref="M24:N28" si="11">G24*4+I24*9+K24*4</f>
        <v>152.13</v>
      </c>
      <c r="N24" s="35">
        <f t="shared" si="11"/>
        <v>202.84</v>
      </c>
    </row>
    <row r="25" spans="2:26" s="16" customFormat="1" x14ac:dyDescent="0.25">
      <c r="B25" s="235"/>
      <c r="C25" s="119" t="s">
        <v>171</v>
      </c>
      <c r="D25" s="120" t="s">
        <v>172</v>
      </c>
      <c r="E25" s="88">
        <v>10</v>
      </c>
      <c r="F25" s="118">
        <v>10</v>
      </c>
      <c r="G25" s="22">
        <f>E25*0.8/100</f>
        <v>0.08</v>
      </c>
      <c r="H25" s="33">
        <f>F25*0.8/100</f>
        <v>0.08</v>
      </c>
      <c r="I25" s="22">
        <f>E25*72.5/100</f>
        <v>7.25</v>
      </c>
      <c r="J25" s="33">
        <f>F25*72.5/100</f>
        <v>7.25</v>
      </c>
      <c r="K25" s="22">
        <f>E25*1.3/100</f>
        <v>0.13</v>
      </c>
      <c r="L25" s="33">
        <f>F25*1.3/100</f>
        <v>0.13</v>
      </c>
      <c r="M25" s="22">
        <f t="shared" si="11"/>
        <v>66.089999999999989</v>
      </c>
      <c r="N25" s="35">
        <f t="shared" si="11"/>
        <v>66.089999999999989</v>
      </c>
    </row>
    <row r="26" spans="2:26" s="16" customFormat="1" x14ac:dyDescent="0.25">
      <c r="B26" s="235"/>
      <c r="C26" s="21" t="s">
        <v>167</v>
      </c>
      <c r="D26" s="6" t="s">
        <v>168</v>
      </c>
      <c r="E26" s="88">
        <v>150</v>
      </c>
      <c r="F26" s="31">
        <v>150</v>
      </c>
      <c r="G26" s="22">
        <f>E26*0.4/100</f>
        <v>0.6</v>
      </c>
      <c r="H26" s="33">
        <f>F26*0.4/100</f>
        <v>0.6</v>
      </c>
      <c r="I26" s="22">
        <f>E26*0.4/100</f>
        <v>0.6</v>
      </c>
      <c r="J26" s="33">
        <f>F26*0.4/100</f>
        <v>0.6</v>
      </c>
      <c r="K26" s="22">
        <f>E26*9.8/100</f>
        <v>14.7</v>
      </c>
      <c r="L26" s="33">
        <f>F26*9.8/100</f>
        <v>14.7</v>
      </c>
      <c r="M26" s="22">
        <f t="shared" si="11"/>
        <v>66.599999999999994</v>
      </c>
      <c r="N26" s="35">
        <f t="shared" si="11"/>
        <v>66.599999999999994</v>
      </c>
    </row>
    <row r="27" spans="2:26" x14ac:dyDescent="0.25">
      <c r="B27" s="235"/>
      <c r="C27" s="21" t="s">
        <v>87</v>
      </c>
      <c r="D27" s="6" t="s">
        <v>88</v>
      </c>
      <c r="E27" s="63">
        <v>40</v>
      </c>
      <c r="F27" s="64">
        <v>40</v>
      </c>
      <c r="G27" s="22">
        <f>E27*7.6/100</f>
        <v>3.04</v>
      </c>
      <c r="H27" s="33">
        <f>F27*7.6/100</f>
        <v>3.04</v>
      </c>
      <c r="I27" s="22">
        <f>E27*0.8/100</f>
        <v>0.32</v>
      </c>
      <c r="J27" s="33">
        <f>F27*0.8/100</f>
        <v>0.32</v>
      </c>
      <c r="K27" s="22">
        <f>E27*49.2/100</f>
        <v>19.68</v>
      </c>
      <c r="L27" s="33">
        <f>F27*49.2/100</f>
        <v>19.68</v>
      </c>
      <c r="M27" s="22">
        <f t="shared" si="11"/>
        <v>93.759999999999991</v>
      </c>
      <c r="N27" s="35">
        <f t="shared" si="11"/>
        <v>93.759999999999991</v>
      </c>
    </row>
    <row r="28" spans="2:26" x14ac:dyDescent="0.25">
      <c r="B28" s="235"/>
      <c r="C28" s="21" t="s">
        <v>50</v>
      </c>
      <c r="D28" s="6" t="s">
        <v>11</v>
      </c>
      <c r="E28" s="88">
        <v>200</v>
      </c>
      <c r="F28" s="31">
        <v>200</v>
      </c>
      <c r="G28" s="22">
        <f>E28*0.3/200</f>
        <v>0.3</v>
      </c>
      <c r="H28" s="33">
        <f>F28*0.3/200</f>
        <v>0.3</v>
      </c>
      <c r="I28" s="22">
        <f t="shared" ref="I28:J28" si="12">E28*0.1/200</f>
        <v>0.1</v>
      </c>
      <c r="J28" s="33">
        <f t="shared" si="12"/>
        <v>0.1</v>
      </c>
      <c r="K28" s="22">
        <f>E28*9.5/200</f>
        <v>9.5</v>
      </c>
      <c r="L28" s="33">
        <f>F28*9.5/200</f>
        <v>9.5</v>
      </c>
      <c r="M28" s="22">
        <f t="shared" si="11"/>
        <v>40.1</v>
      </c>
      <c r="N28" s="35">
        <f t="shared" si="11"/>
        <v>40.1</v>
      </c>
    </row>
    <row r="29" spans="2:26" x14ac:dyDescent="0.25">
      <c r="B29" s="235"/>
      <c r="C29" s="73"/>
      <c r="D29" s="74" t="s">
        <v>13</v>
      </c>
      <c r="E29" s="75">
        <f t="shared" ref="E29:L29" si="13">SUM(E24:E28)</f>
        <v>550</v>
      </c>
      <c r="F29" s="76">
        <f t="shared" si="13"/>
        <v>600</v>
      </c>
      <c r="G29" s="77">
        <f t="shared" si="13"/>
        <v>7.77</v>
      </c>
      <c r="H29" s="78">
        <f t="shared" si="13"/>
        <v>9.02</v>
      </c>
      <c r="I29" s="77">
        <f t="shared" si="13"/>
        <v>13.04</v>
      </c>
      <c r="J29" s="78">
        <f t="shared" si="13"/>
        <v>14.629999999999999</v>
      </c>
      <c r="K29" s="77">
        <f>SUM(K24:K28)</f>
        <v>67.56</v>
      </c>
      <c r="L29" s="78">
        <f t="shared" si="13"/>
        <v>75.41</v>
      </c>
      <c r="M29" s="77">
        <f t="shared" ref="M29:N29" si="14">G29*4+I29*9+K29*4</f>
        <v>418.68</v>
      </c>
      <c r="N29" s="79">
        <f t="shared" si="14"/>
        <v>469.39</v>
      </c>
    </row>
    <row r="30" spans="2:26" x14ac:dyDescent="0.25">
      <c r="B30" s="235"/>
      <c r="C30" s="231" t="s">
        <v>9</v>
      </c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3"/>
    </row>
    <row r="31" spans="2:26" s="16" customFormat="1" x14ac:dyDescent="0.25">
      <c r="B31" s="235"/>
      <c r="C31" s="21" t="s">
        <v>206</v>
      </c>
      <c r="D31" s="6" t="s">
        <v>207</v>
      </c>
      <c r="E31" s="88">
        <v>60</v>
      </c>
      <c r="F31" s="31">
        <v>100</v>
      </c>
      <c r="G31" s="22">
        <f>E31*2.08/100</f>
        <v>1.2480000000000002</v>
      </c>
      <c r="H31" s="33">
        <f>F31*2.08/100</f>
        <v>2.08</v>
      </c>
      <c r="I31" s="88">
        <f>E31*5.12/100</f>
        <v>3.0720000000000001</v>
      </c>
      <c r="J31" s="33">
        <f>F31*5.12/100</f>
        <v>5.12</v>
      </c>
      <c r="K31" s="22">
        <f>E31*5.69/100</f>
        <v>3.4140000000000001</v>
      </c>
      <c r="L31" s="33">
        <f>F31*5.69/100</f>
        <v>5.69</v>
      </c>
      <c r="M31" s="22">
        <f t="shared" ref="M31:N34" si="15">G31*4+I31*9+K31*4</f>
        <v>46.295999999999999</v>
      </c>
      <c r="N31" s="35">
        <f t="shared" si="15"/>
        <v>77.16</v>
      </c>
    </row>
    <row r="32" spans="2:26" s="16" customFormat="1" x14ac:dyDescent="0.25">
      <c r="B32" s="235"/>
      <c r="C32" s="59" t="s">
        <v>208</v>
      </c>
      <c r="D32" s="8" t="s">
        <v>209</v>
      </c>
      <c r="E32" s="87">
        <v>200</v>
      </c>
      <c r="F32" s="43">
        <v>250</v>
      </c>
      <c r="G32" s="22">
        <f>E32*1.11/100</f>
        <v>2.2200000000000002</v>
      </c>
      <c r="H32" s="33">
        <f>F32*1.11/100</f>
        <v>2.7749999999999999</v>
      </c>
      <c r="I32" s="22">
        <f>E32*1.41/100</f>
        <v>2.82</v>
      </c>
      <c r="J32" s="33">
        <f>F32*1.41/100</f>
        <v>3.5249999999999999</v>
      </c>
      <c r="K32" s="22">
        <f>E32*3.92/100</f>
        <v>7.84</v>
      </c>
      <c r="L32" s="33">
        <f>F32*3.92/100</f>
        <v>9.8000000000000007</v>
      </c>
      <c r="M32" s="23">
        <f t="shared" si="15"/>
        <v>65.62</v>
      </c>
      <c r="N32" s="41">
        <f t="shared" si="15"/>
        <v>82.025000000000006</v>
      </c>
    </row>
    <row r="33" spans="2:14" x14ac:dyDescent="0.25">
      <c r="B33" s="235"/>
      <c r="C33" s="20" t="s">
        <v>20</v>
      </c>
      <c r="D33" s="9" t="s">
        <v>21</v>
      </c>
      <c r="E33" s="88">
        <v>150</v>
      </c>
      <c r="F33" s="31">
        <v>180</v>
      </c>
      <c r="G33" s="22">
        <f>E33*2.1/100</f>
        <v>3.15</v>
      </c>
      <c r="H33" s="33">
        <f>F33*2.1/100</f>
        <v>3.78</v>
      </c>
      <c r="I33" s="22">
        <f>E33*3.5/100</f>
        <v>5.25</v>
      </c>
      <c r="J33" s="33">
        <f>F33*3.5/100</f>
        <v>6.3</v>
      </c>
      <c r="K33" s="22">
        <f>E33*14.6/100</f>
        <v>21.9</v>
      </c>
      <c r="L33" s="33">
        <f>F33*14.6/100</f>
        <v>26.28</v>
      </c>
      <c r="M33" s="22">
        <f t="shared" si="15"/>
        <v>147.44999999999999</v>
      </c>
      <c r="N33" s="35">
        <f t="shared" si="15"/>
        <v>176.94</v>
      </c>
    </row>
    <row r="34" spans="2:14" s="16" customFormat="1" x14ac:dyDescent="0.25">
      <c r="B34" s="235"/>
      <c r="C34" s="20" t="s">
        <v>210</v>
      </c>
      <c r="D34" s="9" t="s">
        <v>211</v>
      </c>
      <c r="E34" s="88">
        <v>90</v>
      </c>
      <c r="F34" s="31">
        <v>100</v>
      </c>
      <c r="G34" s="22">
        <f>E34*24.8/100</f>
        <v>22.32</v>
      </c>
      <c r="H34" s="33">
        <f>F34*24.8/100</f>
        <v>24.8</v>
      </c>
      <c r="I34" s="22">
        <f>E34*16.6/100</f>
        <v>14.940000000000003</v>
      </c>
      <c r="J34" s="33">
        <f>F34*16.6/100</f>
        <v>16.600000000000001</v>
      </c>
      <c r="K34" s="22">
        <f>E34*6.1/100</f>
        <v>5.49</v>
      </c>
      <c r="L34" s="33">
        <f>F34*6.1/100</f>
        <v>6.1</v>
      </c>
      <c r="M34" s="22">
        <f t="shared" si="15"/>
        <v>245.70000000000005</v>
      </c>
      <c r="N34" s="35">
        <f t="shared" si="15"/>
        <v>273</v>
      </c>
    </row>
    <row r="35" spans="2:14" s="16" customFormat="1" x14ac:dyDescent="0.25">
      <c r="B35" s="235"/>
      <c r="C35" s="20" t="s">
        <v>71</v>
      </c>
      <c r="D35" s="9" t="s">
        <v>72</v>
      </c>
      <c r="E35" s="61">
        <v>40</v>
      </c>
      <c r="F35" s="31">
        <v>50</v>
      </c>
      <c r="G35" s="22">
        <f>E35*1.3/50</f>
        <v>1.04</v>
      </c>
      <c r="H35" s="33">
        <f>F35*1.3/50</f>
        <v>1.3</v>
      </c>
      <c r="I35" s="22">
        <f>E35*4.8/50</f>
        <v>3.84</v>
      </c>
      <c r="J35" s="33">
        <f>F35*4.8/50</f>
        <v>4.8</v>
      </c>
      <c r="K35" s="22">
        <f>E35*4.7/50</f>
        <v>3.76</v>
      </c>
      <c r="L35" s="33">
        <f>F35*4.7/50</f>
        <v>4.7</v>
      </c>
      <c r="M35" s="22">
        <f t="shared" ref="M35:N36" si="16">G35*4+I35*9+K35*4</f>
        <v>53.76</v>
      </c>
      <c r="N35" s="35">
        <f t="shared" si="16"/>
        <v>67.2</v>
      </c>
    </row>
    <row r="36" spans="2:14" x14ac:dyDescent="0.25">
      <c r="B36" s="235"/>
      <c r="C36" s="21" t="s">
        <v>92</v>
      </c>
      <c r="D36" s="6" t="s">
        <v>93</v>
      </c>
      <c r="E36" s="88">
        <v>200</v>
      </c>
      <c r="F36" s="31">
        <v>200</v>
      </c>
      <c r="G36" s="22">
        <f>E36*0.15/100</f>
        <v>0.3</v>
      </c>
      <c r="H36" s="33">
        <f>F36*0.15/100</f>
        <v>0.3</v>
      </c>
      <c r="I36" s="22">
        <f>E36*0.005/100</f>
        <v>0.01</v>
      </c>
      <c r="J36" s="33">
        <f>F36*0.005/100</f>
        <v>0.01</v>
      </c>
      <c r="K36" s="22">
        <f>E36*8.75/100</f>
        <v>17.5</v>
      </c>
      <c r="L36" s="33">
        <f>F36*8.75/100</f>
        <v>17.5</v>
      </c>
      <c r="M36" s="22">
        <f t="shared" si="16"/>
        <v>71.290000000000006</v>
      </c>
      <c r="N36" s="35">
        <f t="shared" si="16"/>
        <v>71.290000000000006</v>
      </c>
    </row>
    <row r="37" spans="2:14" x14ac:dyDescent="0.25">
      <c r="B37" s="235"/>
      <c r="C37" s="21" t="s">
        <v>86</v>
      </c>
      <c r="D37" s="6" t="s">
        <v>23</v>
      </c>
      <c r="E37" s="63">
        <v>30</v>
      </c>
      <c r="F37" s="64">
        <v>30</v>
      </c>
      <c r="G37" s="22">
        <f>E37*8/100</f>
        <v>2.4</v>
      </c>
      <c r="H37" s="33">
        <f>F37*8/100</f>
        <v>2.4</v>
      </c>
      <c r="I37" s="22">
        <f>E37*1.5/100</f>
        <v>0.45</v>
      </c>
      <c r="J37" s="33">
        <f>F37*1.5/100</f>
        <v>0.45</v>
      </c>
      <c r="K37" s="22">
        <f>E37*40.1/100</f>
        <v>12.03</v>
      </c>
      <c r="L37" s="33">
        <f>F37*40.1/100</f>
        <v>12.03</v>
      </c>
      <c r="M37" s="22">
        <f t="shared" ref="M37:N38" si="17">G37*4+I37*9+K37*4</f>
        <v>61.769999999999996</v>
      </c>
      <c r="N37" s="35">
        <f t="shared" si="17"/>
        <v>61.769999999999996</v>
      </c>
    </row>
    <row r="38" spans="2:14" x14ac:dyDescent="0.25">
      <c r="B38" s="235"/>
      <c r="C38" s="21" t="s">
        <v>87</v>
      </c>
      <c r="D38" s="6" t="s">
        <v>88</v>
      </c>
      <c r="E38" s="63">
        <v>50</v>
      </c>
      <c r="F38" s="64">
        <v>50</v>
      </c>
      <c r="G38" s="22">
        <f>E38*7.6/100</f>
        <v>3.8</v>
      </c>
      <c r="H38" s="33">
        <f>F38*7.6/100</f>
        <v>3.8</v>
      </c>
      <c r="I38" s="22">
        <f>E38*0.8/100</f>
        <v>0.4</v>
      </c>
      <c r="J38" s="33">
        <f>F38*0.8/100</f>
        <v>0.4</v>
      </c>
      <c r="K38" s="22">
        <f>E38*49.2/100</f>
        <v>24.6</v>
      </c>
      <c r="L38" s="33">
        <f>F38*49.2/100</f>
        <v>24.6</v>
      </c>
      <c r="M38" s="22">
        <f t="shared" si="17"/>
        <v>117.2</v>
      </c>
      <c r="N38" s="35">
        <f t="shared" si="17"/>
        <v>117.2</v>
      </c>
    </row>
    <row r="39" spans="2:14" x14ac:dyDescent="0.25">
      <c r="B39" s="235"/>
      <c r="C39" s="21"/>
      <c r="D39" s="4" t="s">
        <v>14</v>
      </c>
      <c r="E39" s="24">
        <f t="shared" ref="E39:N39" si="18">SUM(E31:E38)</f>
        <v>820</v>
      </c>
      <c r="F39" s="38">
        <f t="shared" si="18"/>
        <v>960</v>
      </c>
      <c r="G39" s="7">
        <f t="shared" si="18"/>
        <v>36.478000000000002</v>
      </c>
      <c r="H39" s="34">
        <f t="shared" si="18"/>
        <v>41.234999999999992</v>
      </c>
      <c r="I39" s="7">
        <f t="shared" si="18"/>
        <v>30.782</v>
      </c>
      <c r="J39" s="34">
        <f t="shared" si="18"/>
        <v>37.204999999999998</v>
      </c>
      <c r="K39" s="7">
        <f>SUM(K31:K38)</f>
        <v>96.533999999999992</v>
      </c>
      <c r="L39" s="34">
        <f t="shared" si="18"/>
        <v>106.70000000000002</v>
      </c>
      <c r="M39" s="7">
        <f t="shared" si="18"/>
        <v>809.08600000000001</v>
      </c>
      <c r="N39" s="36">
        <f t="shared" si="18"/>
        <v>926.58500000000004</v>
      </c>
    </row>
    <row r="40" spans="2:14" ht="15.75" thickBot="1" x14ac:dyDescent="0.3">
      <c r="B40" s="235"/>
      <c r="C40" s="66"/>
      <c r="D40" s="67" t="s">
        <v>12</v>
      </c>
      <c r="E40" s="71"/>
      <c r="F40" s="72"/>
      <c r="G40" s="68">
        <f t="shared" ref="G40:N40" si="19">G29+G39</f>
        <v>44.248000000000005</v>
      </c>
      <c r="H40" s="69">
        <f t="shared" si="19"/>
        <v>50.254999999999995</v>
      </c>
      <c r="I40" s="68">
        <f t="shared" si="19"/>
        <v>43.822000000000003</v>
      </c>
      <c r="J40" s="69">
        <f t="shared" si="19"/>
        <v>51.834999999999994</v>
      </c>
      <c r="K40" s="68">
        <f>K29+K39</f>
        <v>164.09399999999999</v>
      </c>
      <c r="L40" s="69">
        <f t="shared" si="19"/>
        <v>182.11</v>
      </c>
      <c r="M40" s="68">
        <f t="shared" si="19"/>
        <v>1227.7660000000001</v>
      </c>
      <c r="N40" s="70">
        <f t="shared" si="19"/>
        <v>1395.9749999999999</v>
      </c>
    </row>
    <row r="41" spans="2:14" x14ac:dyDescent="0.25">
      <c r="B41" s="214" t="s">
        <v>244</v>
      </c>
      <c r="C41" s="209" t="s">
        <v>8</v>
      </c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1"/>
    </row>
    <row r="42" spans="2:14" ht="16.5" customHeight="1" x14ac:dyDescent="0.25">
      <c r="B42" s="215"/>
      <c r="C42" s="20" t="s">
        <v>94</v>
      </c>
      <c r="D42" s="9" t="s">
        <v>89</v>
      </c>
      <c r="E42" s="88">
        <v>150</v>
      </c>
      <c r="F42" s="30">
        <v>200</v>
      </c>
      <c r="G42" s="22">
        <f>E42*2.5/100</f>
        <v>3.75</v>
      </c>
      <c r="H42" s="33">
        <f>F42*2.5/100</f>
        <v>5</v>
      </c>
      <c r="I42" s="22">
        <f>E42*3.2/100</f>
        <v>4.8</v>
      </c>
      <c r="J42" s="33">
        <f>F42*3.2/100</f>
        <v>6.4</v>
      </c>
      <c r="K42" s="22">
        <f>E42*13.45/100</f>
        <v>20.175000000000001</v>
      </c>
      <c r="L42" s="33">
        <f>F42*13.46/100</f>
        <v>26.92</v>
      </c>
      <c r="M42" s="22">
        <f t="shared" ref="M42:N44" si="20">G42*4+I42*9+K42*4</f>
        <v>138.9</v>
      </c>
      <c r="N42" s="35">
        <f t="shared" si="20"/>
        <v>185.28</v>
      </c>
    </row>
    <row r="43" spans="2:14" s="16" customFormat="1" ht="15" customHeight="1" x14ac:dyDescent="0.25">
      <c r="B43" s="215"/>
      <c r="C43" s="119" t="s">
        <v>165</v>
      </c>
      <c r="D43" s="120" t="s">
        <v>166</v>
      </c>
      <c r="E43" s="88">
        <v>10</v>
      </c>
      <c r="F43" s="118">
        <v>10</v>
      </c>
      <c r="G43" s="22">
        <f>E43*23.2/100</f>
        <v>2.3199999999999998</v>
      </c>
      <c r="H43" s="33">
        <f>F43*23.2/100</f>
        <v>2.3199999999999998</v>
      </c>
      <c r="I43" s="22">
        <f>E43*29.5/100</f>
        <v>2.95</v>
      </c>
      <c r="J43" s="33">
        <f>F43*29.5/100</f>
        <v>2.95</v>
      </c>
      <c r="K43" s="22">
        <f>E43*0/100</f>
        <v>0</v>
      </c>
      <c r="L43" s="33">
        <f>F43*0/100</f>
        <v>0</v>
      </c>
      <c r="M43" s="22">
        <f t="shared" si="20"/>
        <v>35.83</v>
      </c>
      <c r="N43" s="35">
        <f t="shared" si="20"/>
        <v>35.83</v>
      </c>
    </row>
    <row r="44" spans="2:14" s="16" customFormat="1" ht="14.25" customHeight="1" x14ac:dyDescent="0.25">
      <c r="B44" s="215"/>
      <c r="C44" s="21" t="s">
        <v>167</v>
      </c>
      <c r="D44" s="6" t="s">
        <v>168</v>
      </c>
      <c r="E44" s="88">
        <v>150</v>
      </c>
      <c r="F44" s="31">
        <v>150</v>
      </c>
      <c r="G44" s="22">
        <f>E44*0.4/100</f>
        <v>0.6</v>
      </c>
      <c r="H44" s="33">
        <f>F44*0.4/100</f>
        <v>0.6</v>
      </c>
      <c r="I44" s="22">
        <f>E44*0.4/100</f>
        <v>0.6</v>
      </c>
      <c r="J44" s="33">
        <f>F44*0.4/100</f>
        <v>0.6</v>
      </c>
      <c r="K44" s="22">
        <f>E44*9.8/100</f>
        <v>14.7</v>
      </c>
      <c r="L44" s="33">
        <f>F44*9.8/100</f>
        <v>14.7</v>
      </c>
      <c r="M44" s="22">
        <f t="shared" si="20"/>
        <v>66.599999999999994</v>
      </c>
      <c r="N44" s="35">
        <f t="shared" si="20"/>
        <v>66.599999999999994</v>
      </c>
    </row>
    <row r="45" spans="2:14" x14ac:dyDescent="0.25">
      <c r="B45" s="215"/>
      <c r="C45" s="21" t="s">
        <v>87</v>
      </c>
      <c r="D45" s="6" t="s">
        <v>88</v>
      </c>
      <c r="E45" s="63">
        <v>40</v>
      </c>
      <c r="F45" s="64">
        <v>40</v>
      </c>
      <c r="G45" s="22">
        <f>E45*7.6/100</f>
        <v>3.04</v>
      </c>
      <c r="H45" s="33">
        <f>F45*7.6/100</f>
        <v>3.04</v>
      </c>
      <c r="I45" s="22">
        <f>E45*0.8/100</f>
        <v>0.32</v>
      </c>
      <c r="J45" s="33">
        <f>F45*0.8/100</f>
        <v>0.32</v>
      </c>
      <c r="K45" s="22">
        <f>E45*49.2/100</f>
        <v>19.68</v>
      </c>
      <c r="L45" s="33">
        <f>F45*49.2/100</f>
        <v>19.68</v>
      </c>
      <c r="M45" s="22">
        <f t="shared" ref="M45:N46" si="21">G45*4+I45*9+K45*4</f>
        <v>93.759999999999991</v>
      </c>
      <c r="N45" s="35">
        <f t="shared" si="21"/>
        <v>93.759999999999991</v>
      </c>
    </row>
    <row r="46" spans="2:14" x14ac:dyDescent="0.25">
      <c r="B46" s="215"/>
      <c r="C46" s="20" t="s">
        <v>63</v>
      </c>
      <c r="D46" s="9" t="s">
        <v>64</v>
      </c>
      <c r="E46" s="88">
        <v>200</v>
      </c>
      <c r="F46" s="31">
        <v>200</v>
      </c>
      <c r="G46" s="22">
        <f>E46*1.65/100</f>
        <v>3.3</v>
      </c>
      <c r="H46" s="33">
        <f>F46*1.65/100</f>
        <v>3.3</v>
      </c>
      <c r="I46" s="22">
        <f>E46*1.45/100</f>
        <v>2.9</v>
      </c>
      <c r="J46" s="33">
        <f>F46*1.45/100</f>
        <v>2.9</v>
      </c>
      <c r="K46" s="22">
        <f>E46*6.9/100</f>
        <v>13.8</v>
      </c>
      <c r="L46" s="33">
        <f>F46*6.9/100</f>
        <v>13.8</v>
      </c>
      <c r="M46" s="22">
        <f t="shared" si="21"/>
        <v>94.5</v>
      </c>
      <c r="N46" s="35">
        <f t="shared" si="21"/>
        <v>94.5</v>
      </c>
    </row>
    <row r="47" spans="2:14" x14ac:dyDescent="0.25">
      <c r="B47" s="215"/>
      <c r="C47" s="26"/>
      <c r="D47" s="4" t="s">
        <v>13</v>
      </c>
      <c r="E47" s="24">
        <f t="shared" ref="E47:L47" si="22">SUM(E42:E46)</f>
        <v>550</v>
      </c>
      <c r="F47" s="32">
        <f t="shared" si="22"/>
        <v>600</v>
      </c>
      <c r="G47" s="7">
        <f t="shared" si="22"/>
        <v>13.010000000000002</v>
      </c>
      <c r="H47" s="34">
        <f t="shared" si="22"/>
        <v>14.260000000000002</v>
      </c>
      <c r="I47" s="7">
        <f t="shared" si="22"/>
        <v>11.57</v>
      </c>
      <c r="J47" s="34">
        <f t="shared" si="22"/>
        <v>13.170000000000002</v>
      </c>
      <c r="K47" s="7">
        <f t="shared" si="22"/>
        <v>68.355000000000004</v>
      </c>
      <c r="L47" s="34">
        <f t="shared" si="22"/>
        <v>75.100000000000009</v>
      </c>
      <c r="M47" s="7">
        <f t="shared" ref="M47:N47" si="23">G47*4+I47*9+K47*4</f>
        <v>429.59000000000003</v>
      </c>
      <c r="N47" s="36">
        <f t="shared" si="23"/>
        <v>475.97</v>
      </c>
    </row>
    <row r="48" spans="2:14" x14ac:dyDescent="0.25">
      <c r="B48" s="215"/>
      <c r="C48" s="231" t="s">
        <v>9</v>
      </c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3"/>
    </row>
    <row r="49" spans="2:17" x14ac:dyDescent="0.25">
      <c r="B49" s="215"/>
      <c r="C49" s="20" t="s">
        <v>95</v>
      </c>
      <c r="D49" s="9" t="s">
        <v>96</v>
      </c>
      <c r="E49" s="88">
        <v>60</v>
      </c>
      <c r="F49" s="37">
        <v>100</v>
      </c>
      <c r="G49" s="22">
        <f>E49*1.1/100</f>
        <v>0.66</v>
      </c>
      <c r="H49" s="33">
        <f>F49*1.1/100</f>
        <v>1.1000000000000001</v>
      </c>
      <c r="I49" s="22">
        <f>E49*0.2/100</f>
        <v>0.12</v>
      </c>
      <c r="J49" s="33">
        <f>F49*0.2/100</f>
        <v>0.2</v>
      </c>
      <c r="K49" s="22">
        <f>E49*3.8/100</f>
        <v>2.2799999999999998</v>
      </c>
      <c r="L49" s="33">
        <f>F49*3.8/100</f>
        <v>3.8</v>
      </c>
      <c r="M49" s="23">
        <f t="shared" ref="M49:N54" si="24">G49*4+I49*9+K49*4</f>
        <v>12.84</v>
      </c>
      <c r="N49" s="41">
        <f t="shared" si="24"/>
        <v>21.4</v>
      </c>
    </row>
    <row r="50" spans="2:17" s="16" customFormat="1" x14ac:dyDescent="0.25">
      <c r="B50" s="215"/>
      <c r="C50" s="20" t="s">
        <v>212</v>
      </c>
      <c r="D50" s="9" t="s">
        <v>213</v>
      </c>
      <c r="E50" s="87">
        <v>200</v>
      </c>
      <c r="F50" s="43">
        <v>250</v>
      </c>
      <c r="G50" s="22">
        <f>E50*0.94/100</f>
        <v>1.88</v>
      </c>
      <c r="H50" s="33">
        <f>F50*0.94/100</f>
        <v>2.35</v>
      </c>
      <c r="I50" s="22">
        <f>E50*1.81/100</f>
        <v>3.62</v>
      </c>
      <c r="J50" s="33">
        <f>F50*1.81/100</f>
        <v>4.5250000000000004</v>
      </c>
      <c r="K50" s="22">
        <f>E50*3.82/100</f>
        <v>7.64</v>
      </c>
      <c r="L50" s="33">
        <f>F50*3.82/100</f>
        <v>9.5500000000000007</v>
      </c>
      <c r="M50" s="23">
        <f t="shared" si="24"/>
        <v>70.66</v>
      </c>
      <c r="N50" s="41">
        <f t="shared" si="24"/>
        <v>88.325000000000003</v>
      </c>
    </row>
    <row r="51" spans="2:17" x14ac:dyDescent="0.25">
      <c r="B51" s="215"/>
      <c r="C51" s="21" t="s">
        <v>37</v>
      </c>
      <c r="D51" s="6" t="s">
        <v>65</v>
      </c>
      <c r="E51" s="88">
        <v>150</v>
      </c>
      <c r="F51" s="31">
        <v>180</v>
      </c>
      <c r="G51" s="22">
        <f>E51*2.18/100</f>
        <v>3.27</v>
      </c>
      <c r="H51" s="33">
        <f>F51*2.18/100</f>
        <v>3.9240000000000004</v>
      </c>
      <c r="I51" s="22">
        <f>E51*2.18/100</f>
        <v>3.27</v>
      </c>
      <c r="J51" s="33">
        <f>F51*2.18/100</f>
        <v>3.9240000000000004</v>
      </c>
      <c r="K51" s="22">
        <f>E51*12.13/100</f>
        <v>18.195000000000004</v>
      </c>
      <c r="L51" s="33">
        <f>F51*12.13/100</f>
        <v>21.834</v>
      </c>
      <c r="M51" s="22">
        <f t="shared" si="24"/>
        <v>115.29000000000002</v>
      </c>
      <c r="N51" s="35">
        <f t="shared" si="24"/>
        <v>138.34800000000001</v>
      </c>
    </row>
    <row r="52" spans="2:17" x14ac:dyDescent="0.25">
      <c r="B52" s="215"/>
      <c r="C52" s="20" t="s">
        <v>214</v>
      </c>
      <c r="D52" s="8" t="s">
        <v>215</v>
      </c>
      <c r="E52" s="88">
        <v>90</v>
      </c>
      <c r="F52" s="31">
        <v>100</v>
      </c>
      <c r="G52" s="22">
        <f>E52*12.64/80</f>
        <v>14.220000000000002</v>
      </c>
      <c r="H52" s="33">
        <f>F52*12.64/80</f>
        <v>15.8</v>
      </c>
      <c r="I52" s="22">
        <f>E52*13.14/80</f>
        <v>14.782500000000002</v>
      </c>
      <c r="J52" s="33">
        <f>F52*13.14/80</f>
        <v>16.425000000000001</v>
      </c>
      <c r="K52" s="22">
        <f>E52*7.23/80</f>
        <v>8.1337500000000009</v>
      </c>
      <c r="L52" s="33">
        <f>F52*7.23/80</f>
        <v>9.0374999999999996</v>
      </c>
      <c r="M52" s="22">
        <f t="shared" si="24"/>
        <v>222.45750000000001</v>
      </c>
      <c r="N52" s="35">
        <f t="shared" si="24"/>
        <v>247.17500000000004</v>
      </c>
    </row>
    <row r="53" spans="2:17" s="16" customFormat="1" x14ac:dyDescent="0.25">
      <c r="B53" s="215"/>
      <c r="C53" s="20" t="s">
        <v>71</v>
      </c>
      <c r="D53" s="9" t="s">
        <v>72</v>
      </c>
      <c r="E53" s="88">
        <v>40</v>
      </c>
      <c r="F53" s="31">
        <v>50</v>
      </c>
      <c r="G53" s="22">
        <f>E53*1.3/50</f>
        <v>1.04</v>
      </c>
      <c r="H53" s="33">
        <f>F53*1.3/50</f>
        <v>1.3</v>
      </c>
      <c r="I53" s="22">
        <f>E53*4.8/50</f>
        <v>3.84</v>
      </c>
      <c r="J53" s="33">
        <f>F53*4.8/50</f>
        <v>4.8</v>
      </c>
      <c r="K53" s="22">
        <f>E53*4.7/50</f>
        <v>3.76</v>
      </c>
      <c r="L53" s="33">
        <f>F53*4.7/50</f>
        <v>4.7</v>
      </c>
      <c r="M53" s="22">
        <f t="shared" si="24"/>
        <v>53.76</v>
      </c>
      <c r="N53" s="35">
        <f t="shared" si="24"/>
        <v>67.2</v>
      </c>
    </row>
    <row r="54" spans="2:17" x14ac:dyDescent="0.25">
      <c r="B54" s="215"/>
      <c r="C54" s="21" t="s">
        <v>82</v>
      </c>
      <c r="D54" s="6" t="s">
        <v>83</v>
      </c>
      <c r="E54" s="88">
        <v>200</v>
      </c>
      <c r="F54" s="31">
        <v>200</v>
      </c>
      <c r="G54" s="22">
        <f>E54*0.5/100</f>
        <v>1</v>
      </c>
      <c r="H54" s="33">
        <f>F54*0.5/100</f>
        <v>1</v>
      </c>
      <c r="I54" s="22">
        <f>E54*0.1/100</f>
        <v>0.2</v>
      </c>
      <c r="J54" s="33">
        <f>F54*0.1/100</f>
        <v>0.2</v>
      </c>
      <c r="K54" s="22">
        <f>E54*10.1/100</f>
        <v>20.2</v>
      </c>
      <c r="L54" s="33">
        <f>F54*10.1/100</f>
        <v>20.2</v>
      </c>
      <c r="M54" s="22">
        <f t="shared" si="24"/>
        <v>86.6</v>
      </c>
      <c r="N54" s="35">
        <f t="shared" si="24"/>
        <v>86.6</v>
      </c>
    </row>
    <row r="55" spans="2:17" x14ac:dyDescent="0.25">
      <c r="B55" s="215"/>
      <c r="C55" s="21" t="s">
        <v>86</v>
      </c>
      <c r="D55" s="6" t="s">
        <v>23</v>
      </c>
      <c r="E55" s="63">
        <v>30</v>
      </c>
      <c r="F55" s="64">
        <v>30</v>
      </c>
      <c r="G55" s="22">
        <f>E55*8/100</f>
        <v>2.4</v>
      </c>
      <c r="H55" s="33">
        <f>F55*8/100</f>
        <v>2.4</v>
      </c>
      <c r="I55" s="22">
        <f>E55*1.5/100</f>
        <v>0.45</v>
      </c>
      <c r="J55" s="33">
        <f>F55*1.5/100</f>
        <v>0.45</v>
      </c>
      <c r="K55" s="22">
        <f>E55*40.1/100</f>
        <v>12.03</v>
      </c>
      <c r="L55" s="33">
        <f>F55*40.1/100</f>
        <v>12.03</v>
      </c>
      <c r="M55" s="22">
        <f t="shared" ref="M55:N56" si="25">G55*4+I55*9+K55*4</f>
        <v>61.769999999999996</v>
      </c>
      <c r="N55" s="35">
        <f t="shared" si="25"/>
        <v>61.769999999999996</v>
      </c>
    </row>
    <row r="56" spans="2:17" x14ac:dyDescent="0.25">
      <c r="B56" s="215"/>
      <c r="C56" s="21" t="s">
        <v>87</v>
      </c>
      <c r="D56" s="6" t="s">
        <v>88</v>
      </c>
      <c r="E56" s="63">
        <v>50</v>
      </c>
      <c r="F56" s="64">
        <v>50</v>
      </c>
      <c r="G56" s="22">
        <f>E56*7.6/100</f>
        <v>3.8</v>
      </c>
      <c r="H56" s="33">
        <f>F56*7.6/100</f>
        <v>3.8</v>
      </c>
      <c r="I56" s="22">
        <f>E56*0.8/100</f>
        <v>0.4</v>
      </c>
      <c r="J56" s="33">
        <f>F56*0.8/100</f>
        <v>0.4</v>
      </c>
      <c r="K56" s="22">
        <f>E56*49.2/100</f>
        <v>24.6</v>
      </c>
      <c r="L56" s="33">
        <f>F56*49.2/100</f>
        <v>24.6</v>
      </c>
      <c r="M56" s="22">
        <f t="shared" si="25"/>
        <v>117.2</v>
      </c>
      <c r="N56" s="35">
        <f t="shared" si="25"/>
        <v>117.2</v>
      </c>
      <c r="Q56" s="14" t="s">
        <v>25</v>
      </c>
    </row>
    <row r="57" spans="2:17" x14ac:dyDescent="0.25">
      <c r="B57" s="215"/>
      <c r="C57" s="21"/>
      <c r="D57" s="4" t="s">
        <v>14</v>
      </c>
      <c r="E57" s="24">
        <f t="shared" ref="E57:N57" si="26">SUM(E49:E56)</f>
        <v>820</v>
      </c>
      <c r="F57" s="38">
        <f t="shared" si="26"/>
        <v>960</v>
      </c>
      <c r="G57" s="7">
        <f t="shared" si="26"/>
        <v>28.27</v>
      </c>
      <c r="H57" s="34">
        <f t="shared" si="26"/>
        <v>31.673999999999999</v>
      </c>
      <c r="I57" s="24">
        <f t="shared" si="26"/>
        <v>26.682500000000001</v>
      </c>
      <c r="J57" s="34">
        <f t="shared" si="26"/>
        <v>30.923999999999999</v>
      </c>
      <c r="K57" s="7">
        <f t="shared" si="26"/>
        <v>96.838750000000005</v>
      </c>
      <c r="L57" s="34">
        <f t="shared" si="26"/>
        <v>105.75149999999999</v>
      </c>
      <c r="M57" s="7">
        <f t="shared" si="26"/>
        <v>740.5775000000001</v>
      </c>
      <c r="N57" s="36">
        <f t="shared" si="26"/>
        <v>828.01800000000014</v>
      </c>
    </row>
    <row r="58" spans="2:17" ht="15.75" thickBot="1" x14ac:dyDescent="0.3">
      <c r="B58" s="216"/>
      <c r="C58" s="25"/>
      <c r="D58" s="17" t="s">
        <v>12</v>
      </c>
      <c r="E58" s="18"/>
      <c r="F58" s="39"/>
      <c r="G58" s="19">
        <f t="shared" ref="G58:N58" si="27">G47+G57</f>
        <v>41.28</v>
      </c>
      <c r="H58" s="40">
        <f t="shared" si="27"/>
        <v>45.933999999999997</v>
      </c>
      <c r="I58" s="19">
        <f t="shared" si="27"/>
        <v>38.252499999999998</v>
      </c>
      <c r="J58" s="40">
        <f t="shared" si="27"/>
        <v>44.094000000000001</v>
      </c>
      <c r="K58" s="19">
        <f t="shared" si="27"/>
        <v>165.19375000000002</v>
      </c>
      <c r="L58" s="40">
        <f t="shared" si="27"/>
        <v>180.85149999999999</v>
      </c>
      <c r="M58" s="19">
        <f t="shared" si="27"/>
        <v>1170.1675</v>
      </c>
      <c r="N58" s="42">
        <f t="shared" si="27"/>
        <v>1303.9880000000003</v>
      </c>
    </row>
    <row r="59" spans="2:17" ht="15.75" x14ac:dyDescent="0.25">
      <c r="B59" s="205"/>
      <c r="C59" s="205"/>
      <c r="D59" s="205"/>
      <c r="E59" s="205"/>
      <c r="H59" s="15"/>
    </row>
    <row r="60" spans="2:17" x14ac:dyDescent="0.25">
      <c r="H60" s="1"/>
    </row>
    <row r="73" spans="6:6" x14ac:dyDescent="0.25">
      <c r="F73" s="1"/>
    </row>
    <row r="81" spans="10:10" x14ac:dyDescent="0.25">
      <c r="J81" s="1"/>
    </row>
  </sheetData>
  <mergeCells count="20">
    <mergeCell ref="M3:N4"/>
    <mergeCell ref="G4:H4"/>
    <mergeCell ref="I4:J4"/>
    <mergeCell ref="K4:L4"/>
    <mergeCell ref="B2:E2"/>
    <mergeCell ref="B3:B5"/>
    <mergeCell ref="C3:C5"/>
    <mergeCell ref="D3:D5"/>
    <mergeCell ref="E3:F4"/>
    <mergeCell ref="G3:L3"/>
    <mergeCell ref="C41:N41"/>
    <mergeCell ref="C48:N48"/>
    <mergeCell ref="B59:E59"/>
    <mergeCell ref="C6:N6"/>
    <mergeCell ref="C13:N13"/>
    <mergeCell ref="C23:N23"/>
    <mergeCell ref="C30:N30"/>
    <mergeCell ref="B6:B22"/>
    <mergeCell ref="B23:B40"/>
    <mergeCell ref="B41:B58"/>
  </mergeCells>
  <pageMargins left="0.23622047244094491" right="0.23622047244094491" top="0.19685039370078741" bottom="0.19685039370078741" header="0.31496062992125984" footer="0.31496062992125984"/>
  <pageSetup paperSize="9" scale="72" fitToHeight="0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Z79"/>
  <sheetViews>
    <sheetView topLeftCell="A10" zoomScale="90" zoomScaleNormal="90" zoomScalePageLayoutView="90" workbookViewId="0">
      <selection activeCell="A18" sqref="A18:XFD18"/>
    </sheetView>
  </sheetViews>
  <sheetFormatPr defaultRowHeight="15" x14ac:dyDescent="0.25"/>
  <cols>
    <col min="1" max="1" width="8.42578125" style="16" customWidth="1"/>
    <col min="2" max="2" width="2.7109375" style="16" customWidth="1"/>
    <col min="3" max="3" width="10.5703125" style="16" customWidth="1"/>
    <col min="4" max="4" width="38" style="16" customWidth="1"/>
    <col min="5" max="6" width="7.28515625" style="16" customWidth="1"/>
    <col min="7" max="7" width="6.7109375" style="16" customWidth="1"/>
    <col min="8" max="8" width="6.85546875" style="16" customWidth="1"/>
    <col min="9" max="9" width="6.42578125" style="16" customWidth="1"/>
    <col min="10" max="10" width="6.5703125" style="16" customWidth="1"/>
    <col min="11" max="11" width="7.5703125" style="16" customWidth="1"/>
    <col min="12" max="12" width="7.42578125" style="16" customWidth="1"/>
    <col min="13" max="13" width="8.5703125" style="16" customWidth="1"/>
    <col min="14" max="14" width="7.5703125" style="16" customWidth="1"/>
    <col min="15" max="15" width="9" style="16" customWidth="1"/>
    <col min="16" max="16" width="7.28515625" style="16" customWidth="1"/>
    <col min="17" max="20" width="9.140625" style="16"/>
    <col min="21" max="21" width="19.7109375" style="16" customWidth="1"/>
    <col min="22" max="22" width="7.7109375" style="16" customWidth="1"/>
    <col min="23" max="23" width="9.140625" style="16"/>
    <col min="24" max="24" width="7.7109375" style="16" customWidth="1"/>
    <col min="25" max="16384" width="9.140625" style="16"/>
  </cols>
  <sheetData>
    <row r="1" spans="2:26" ht="23.25" customHeight="1" x14ac:dyDescent="0.25"/>
    <row r="2" spans="2:26" ht="16.5" customHeight="1" thickBot="1" x14ac:dyDescent="0.3">
      <c r="B2" s="205" t="s">
        <v>54</v>
      </c>
      <c r="C2" s="205"/>
      <c r="D2" s="205"/>
      <c r="E2" s="205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206" t="s">
        <v>44</v>
      </c>
      <c r="C3" s="217" t="s">
        <v>0</v>
      </c>
      <c r="D3" s="220" t="s">
        <v>1</v>
      </c>
      <c r="E3" s="223" t="s">
        <v>6</v>
      </c>
      <c r="F3" s="224"/>
      <c r="G3" s="227" t="s">
        <v>7</v>
      </c>
      <c r="H3" s="227"/>
      <c r="I3" s="227"/>
      <c r="J3" s="227"/>
      <c r="K3" s="227"/>
      <c r="L3" s="227"/>
      <c r="M3" s="192" t="s">
        <v>5</v>
      </c>
      <c r="N3" s="193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207"/>
      <c r="C4" s="218"/>
      <c r="D4" s="221"/>
      <c r="E4" s="225"/>
      <c r="F4" s="226"/>
      <c r="G4" s="196" t="s">
        <v>3</v>
      </c>
      <c r="H4" s="196"/>
      <c r="I4" s="194" t="s">
        <v>2</v>
      </c>
      <c r="J4" s="194"/>
      <c r="K4" s="196" t="s">
        <v>4</v>
      </c>
      <c r="L4" s="196"/>
      <c r="M4" s="194"/>
      <c r="N4" s="195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208"/>
      <c r="C5" s="219"/>
      <c r="D5" s="222"/>
      <c r="E5" s="27" t="s">
        <v>15</v>
      </c>
      <c r="F5" s="28" t="s">
        <v>49</v>
      </c>
      <c r="G5" s="27" t="s">
        <v>15</v>
      </c>
      <c r="H5" s="28" t="s">
        <v>49</v>
      </c>
      <c r="I5" s="27" t="s">
        <v>15</v>
      </c>
      <c r="J5" s="28" t="s">
        <v>49</v>
      </c>
      <c r="K5" s="27" t="s">
        <v>15</v>
      </c>
      <c r="L5" s="28" t="s">
        <v>49</v>
      </c>
      <c r="M5" s="27" t="s">
        <v>15</v>
      </c>
      <c r="N5" s="29" t="s">
        <v>49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15" customHeight="1" x14ac:dyDescent="0.25">
      <c r="B6" s="253" t="s">
        <v>245</v>
      </c>
      <c r="C6" s="237" t="s">
        <v>8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9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254"/>
      <c r="C7" s="81" t="s">
        <v>216</v>
      </c>
      <c r="D7" s="125" t="s">
        <v>217</v>
      </c>
      <c r="E7" s="88">
        <v>150</v>
      </c>
      <c r="F7" s="30">
        <v>180</v>
      </c>
      <c r="G7" s="22">
        <f>E7*17.1/100</f>
        <v>25.65</v>
      </c>
      <c r="H7" s="33">
        <f>F7*17.1/100</f>
        <v>30.780000000000005</v>
      </c>
      <c r="I7" s="22">
        <f>E7*12.2/100</f>
        <v>18.3</v>
      </c>
      <c r="J7" s="33">
        <f>F7*12.2/100</f>
        <v>21.96</v>
      </c>
      <c r="K7" s="22">
        <f>E7*15.5/100</f>
        <v>23.25</v>
      </c>
      <c r="L7" s="33">
        <f>F7*15.5/100</f>
        <v>27.9</v>
      </c>
      <c r="M7" s="22">
        <f t="shared" ref="M7:N9" si="0">G7*4+I7*9+K7*4</f>
        <v>360.3</v>
      </c>
      <c r="N7" s="35">
        <f t="shared" si="0"/>
        <v>432.36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x14ac:dyDescent="0.25">
      <c r="B8" s="254"/>
      <c r="C8" s="21" t="s">
        <v>182</v>
      </c>
      <c r="D8" s="120" t="s">
        <v>183</v>
      </c>
      <c r="E8" s="88">
        <v>15</v>
      </c>
      <c r="F8" s="118">
        <v>20</v>
      </c>
      <c r="G8" s="121">
        <f>E8*0/10</f>
        <v>0</v>
      </c>
      <c r="H8" s="122">
        <f>F8*0/10</f>
        <v>0</v>
      </c>
      <c r="I8" s="121">
        <f>E8*0/10</f>
        <v>0</v>
      </c>
      <c r="J8" s="122">
        <f>F8*0/10</f>
        <v>0</v>
      </c>
      <c r="K8" s="22">
        <f>E8*61/100</f>
        <v>9.15</v>
      </c>
      <c r="L8" s="33">
        <f>F8*61/100</f>
        <v>12.2</v>
      </c>
      <c r="M8" s="22">
        <f t="shared" si="0"/>
        <v>36.6</v>
      </c>
      <c r="N8" s="35">
        <f t="shared" si="0"/>
        <v>48.8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x14ac:dyDescent="0.25">
      <c r="B9" s="254"/>
      <c r="C9" s="21" t="s">
        <v>167</v>
      </c>
      <c r="D9" s="6" t="s">
        <v>168</v>
      </c>
      <c r="E9" s="88">
        <v>150</v>
      </c>
      <c r="F9" s="31">
        <v>150</v>
      </c>
      <c r="G9" s="22">
        <f>E9*0.4/100</f>
        <v>0.6</v>
      </c>
      <c r="H9" s="33">
        <f>F9*0.4/100</f>
        <v>0.6</v>
      </c>
      <c r="I9" s="22">
        <f>E9*0.4/100</f>
        <v>0.6</v>
      </c>
      <c r="J9" s="33">
        <f>F9*0.4/100</f>
        <v>0.6</v>
      </c>
      <c r="K9" s="22">
        <f>E9*9.8/100</f>
        <v>14.7</v>
      </c>
      <c r="L9" s="33">
        <f>F9*9.8/100</f>
        <v>14.7</v>
      </c>
      <c r="M9" s="22">
        <f t="shared" si="0"/>
        <v>66.599999999999994</v>
      </c>
      <c r="N9" s="35">
        <f t="shared" si="0"/>
        <v>66.599999999999994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x14ac:dyDescent="0.25">
      <c r="B10" s="254"/>
      <c r="C10" s="21" t="s">
        <v>87</v>
      </c>
      <c r="D10" s="6" t="s">
        <v>88</v>
      </c>
      <c r="E10" s="63">
        <v>40</v>
      </c>
      <c r="F10" s="64">
        <v>40</v>
      </c>
      <c r="G10" s="22">
        <f>E10*7.6/100</f>
        <v>3.04</v>
      </c>
      <c r="H10" s="33">
        <f>F10*7.6/100</f>
        <v>3.04</v>
      </c>
      <c r="I10" s="22">
        <f>E10*0.8/100</f>
        <v>0.32</v>
      </c>
      <c r="J10" s="33">
        <f>F10*0.8/100</f>
        <v>0.32</v>
      </c>
      <c r="K10" s="22">
        <f>E10*49.2/100</f>
        <v>19.68</v>
      </c>
      <c r="L10" s="33">
        <f>F10*49.2/100</f>
        <v>19.68</v>
      </c>
      <c r="M10" s="22">
        <f t="shared" ref="M10:N11" si="1">G10*4+I10*9+K10*4</f>
        <v>93.759999999999991</v>
      </c>
      <c r="N10" s="35">
        <f t="shared" si="1"/>
        <v>93.759999999999991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25">
      <c r="B11" s="254"/>
      <c r="C11" s="20" t="s">
        <v>51</v>
      </c>
      <c r="D11" s="9" t="s">
        <v>16</v>
      </c>
      <c r="E11" s="88">
        <v>200</v>
      </c>
      <c r="F11" s="31">
        <v>200</v>
      </c>
      <c r="G11" s="22">
        <f>E11*0.2/200</f>
        <v>0.2</v>
      </c>
      <c r="H11" s="33">
        <f>F11*0.2/200</f>
        <v>0.2</v>
      </c>
      <c r="I11" s="22">
        <f t="shared" ref="I11:J11" si="2">E11*0.1/200</f>
        <v>0.1</v>
      </c>
      <c r="J11" s="33">
        <f t="shared" si="2"/>
        <v>0.1</v>
      </c>
      <c r="K11" s="22">
        <f>E11*9.3/200</f>
        <v>9.3000000000000007</v>
      </c>
      <c r="L11" s="33">
        <f>F11*9.3/200</f>
        <v>9.3000000000000007</v>
      </c>
      <c r="M11" s="22">
        <f t="shared" si="1"/>
        <v>38.900000000000006</v>
      </c>
      <c r="N11" s="35">
        <f t="shared" si="1"/>
        <v>38.900000000000006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x14ac:dyDescent="0.25">
      <c r="B12" s="254"/>
      <c r="C12" s="26"/>
      <c r="D12" s="4" t="s">
        <v>13</v>
      </c>
      <c r="E12" s="24">
        <f t="shared" ref="E12:L12" si="3">SUM(E7:E11)</f>
        <v>555</v>
      </c>
      <c r="F12" s="32">
        <f t="shared" si="3"/>
        <v>590</v>
      </c>
      <c r="G12" s="7">
        <f t="shared" si="3"/>
        <v>29.49</v>
      </c>
      <c r="H12" s="34">
        <f t="shared" si="3"/>
        <v>34.620000000000012</v>
      </c>
      <c r="I12" s="7">
        <f t="shared" si="3"/>
        <v>19.320000000000004</v>
      </c>
      <c r="J12" s="34">
        <f t="shared" si="3"/>
        <v>22.980000000000004</v>
      </c>
      <c r="K12" s="7">
        <f t="shared" si="3"/>
        <v>76.08</v>
      </c>
      <c r="L12" s="34">
        <f t="shared" si="3"/>
        <v>83.779999999999987</v>
      </c>
      <c r="M12" s="7">
        <f t="shared" ref="M12:N12" si="4">G12*4+I12*9+K12*4</f>
        <v>596.16000000000008</v>
      </c>
      <c r="N12" s="36">
        <f t="shared" si="4"/>
        <v>680.42000000000007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25">
      <c r="B13" s="254"/>
      <c r="C13" s="231" t="s">
        <v>9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3"/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25">
      <c r="B14" s="254"/>
      <c r="C14" s="20" t="s">
        <v>218</v>
      </c>
      <c r="D14" s="8" t="s">
        <v>219</v>
      </c>
      <c r="E14" s="88">
        <v>60</v>
      </c>
      <c r="F14" s="37">
        <v>100</v>
      </c>
      <c r="G14" s="22">
        <f>E14*1.2/100</f>
        <v>0.72</v>
      </c>
      <c r="H14" s="33">
        <f>F14*1.2/100</f>
        <v>1.2</v>
      </c>
      <c r="I14" s="22">
        <f>E14*5.1/100</f>
        <v>3.06</v>
      </c>
      <c r="J14" s="33">
        <f>F14*5.1/100</f>
        <v>5.0999999999999996</v>
      </c>
      <c r="K14" s="22">
        <f>E14*5.5/100</f>
        <v>3.3</v>
      </c>
      <c r="L14" s="33">
        <f>F14*5.5/100</f>
        <v>5.5</v>
      </c>
      <c r="M14" s="23">
        <f t="shared" ref="M14:N18" si="5">G14*4+I14*9+K14*4</f>
        <v>43.62</v>
      </c>
      <c r="N14" s="41">
        <f t="shared" si="5"/>
        <v>72.699999999999989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254"/>
      <c r="C15" s="20" t="s">
        <v>78</v>
      </c>
      <c r="D15" s="8" t="s">
        <v>79</v>
      </c>
      <c r="E15" s="88">
        <v>200</v>
      </c>
      <c r="F15" s="37">
        <v>250</v>
      </c>
      <c r="G15" s="22">
        <f>E15*0.8/100</f>
        <v>1.6</v>
      </c>
      <c r="H15" s="33">
        <f>F15*0.8/100</f>
        <v>2</v>
      </c>
      <c r="I15" s="22">
        <f>E15*1.72/100</f>
        <v>3.44</v>
      </c>
      <c r="J15" s="33">
        <f>F15*1.72/100</f>
        <v>4.3</v>
      </c>
      <c r="K15" s="22">
        <f>E15*4/100</f>
        <v>8</v>
      </c>
      <c r="L15" s="33">
        <f>F15*4/100</f>
        <v>10</v>
      </c>
      <c r="M15" s="22">
        <f t="shared" si="5"/>
        <v>69.36</v>
      </c>
      <c r="N15" s="35">
        <f>H15*4+J15*9+L15*4</f>
        <v>86.699999999999989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25">
      <c r="B16" s="254"/>
      <c r="C16" s="21" t="s">
        <v>220</v>
      </c>
      <c r="D16" s="6" t="s">
        <v>221</v>
      </c>
      <c r="E16" s="88">
        <v>150</v>
      </c>
      <c r="F16" s="31">
        <v>180</v>
      </c>
      <c r="G16" s="22">
        <f>E16*2.77/100</f>
        <v>4.1550000000000002</v>
      </c>
      <c r="H16" s="33">
        <f>F16*2.77/100</f>
        <v>4.9860000000000007</v>
      </c>
      <c r="I16" s="22">
        <f>E16*1.77/100</f>
        <v>2.6549999999999998</v>
      </c>
      <c r="J16" s="33">
        <f>F16*1.77/100</f>
        <v>3.1860000000000004</v>
      </c>
      <c r="K16" s="22">
        <f>E16*23.61/100</f>
        <v>35.414999999999999</v>
      </c>
      <c r="L16" s="33">
        <f>F16*23.61/100</f>
        <v>42.498000000000005</v>
      </c>
      <c r="M16" s="22">
        <f t="shared" si="5"/>
        <v>182.17500000000001</v>
      </c>
      <c r="N16" s="35">
        <f t="shared" si="5"/>
        <v>218.61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25">
      <c r="B17" s="254"/>
      <c r="C17" s="20" t="s">
        <v>222</v>
      </c>
      <c r="D17" s="8" t="s">
        <v>223</v>
      </c>
      <c r="E17" s="88">
        <v>90</v>
      </c>
      <c r="F17" s="31">
        <v>100</v>
      </c>
      <c r="G17" s="22">
        <f>E17*8.9/100</f>
        <v>8.01</v>
      </c>
      <c r="H17" s="33">
        <f>F17*8.9/100</f>
        <v>8.9</v>
      </c>
      <c r="I17" s="22">
        <f>E17*20.3/100</f>
        <v>18.27</v>
      </c>
      <c r="J17" s="33">
        <f>F17*20.3/100</f>
        <v>20.3</v>
      </c>
      <c r="K17" s="22">
        <f>E17*8.9/100</f>
        <v>8.01</v>
      </c>
      <c r="L17" s="33">
        <f>F17*8.9/100</f>
        <v>8.9</v>
      </c>
      <c r="M17" s="22">
        <f t="shared" si="5"/>
        <v>228.51</v>
      </c>
      <c r="N17" s="35">
        <f t="shared" si="5"/>
        <v>253.9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254"/>
      <c r="C18" s="21" t="s">
        <v>224</v>
      </c>
      <c r="D18" s="6" t="s">
        <v>225</v>
      </c>
      <c r="E18" s="88">
        <v>200</v>
      </c>
      <c r="F18" s="31">
        <v>200</v>
      </c>
      <c r="G18" s="22">
        <f>E18*0.1/200</f>
        <v>0.1</v>
      </c>
      <c r="H18" s="33">
        <f>F18*0.1/200</f>
        <v>0.1</v>
      </c>
      <c r="I18" s="121">
        <f>E18*0/100</f>
        <v>0</v>
      </c>
      <c r="J18" s="33">
        <f>F18*0/100</f>
        <v>0</v>
      </c>
      <c r="K18" s="22">
        <f>E18*24.2/200</f>
        <v>24.2</v>
      </c>
      <c r="L18" s="33">
        <f>F18*24.2/200</f>
        <v>24.2</v>
      </c>
      <c r="M18" s="22">
        <f t="shared" si="5"/>
        <v>97.2</v>
      </c>
      <c r="N18" s="35">
        <f t="shared" si="5"/>
        <v>97.2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254"/>
      <c r="C19" s="21" t="s">
        <v>86</v>
      </c>
      <c r="D19" s="6" t="s">
        <v>23</v>
      </c>
      <c r="E19" s="63">
        <v>20</v>
      </c>
      <c r="F19" s="64">
        <v>20</v>
      </c>
      <c r="G19" s="22">
        <f>E19*8/100</f>
        <v>1.6</v>
      </c>
      <c r="H19" s="33">
        <f>F19*8/100</f>
        <v>1.6</v>
      </c>
      <c r="I19" s="22">
        <f>E19*1.5/100</f>
        <v>0.3</v>
      </c>
      <c r="J19" s="33">
        <f>F19*1.5/100</f>
        <v>0.3</v>
      </c>
      <c r="K19" s="22">
        <f>E19*40.1/100</f>
        <v>8.02</v>
      </c>
      <c r="L19" s="33">
        <f>F19*40.1/100</f>
        <v>8.02</v>
      </c>
      <c r="M19" s="22">
        <f t="shared" ref="M19:N20" si="6">G19*4+I19*9+K19*4</f>
        <v>41.18</v>
      </c>
      <c r="N19" s="35">
        <f t="shared" si="6"/>
        <v>41.18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x14ac:dyDescent="0.25">
      <c r="B20" s="254"/>
      <c r="C20" s="21" t="s">
        <v>87</v>
      </c>
      <c r="D20" s="6" t="s">
        <v>88</v>
      </c>
      <c r="E20" s="63">
        <v>40</v>
      </c>
      <c r="F20" s="64">
        <v>40</v>
      </c>
      <c r="G20" s="22">
        <f>E20*7.6/100</f>
        <v>3.04</v>
      </c>
      <c r="H20" s="33">
        <f>F20*7.6/100</f>
        <v>3.04</v>
      </c>
      <c r="I20" s="22">
        <f>E20*0.8/100</f>
        <v>0.32</v>
      </c>
      <c r="J20" s="33">
        <f>F20*0.8/100</f>
        <v>0.32</v>
      </c>
      <c r="K20" s="22">
        <f>E20*49.2/100</f>
        <v>19.68</v>
      </c>
      <c r="L20" s="33">
        <f>F20*49.2/100</f>
        <v>19.68</v>
      </c>
      <c r="M20" s="22">
        <f t="shared" si="6"/>
        <v>93.759999999999991</v>
      </c>
      <c r="N20" s="35">
        <f t="shared" si="6"/>
        <v>93.759999999999991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254"/>
      <c r="C21" s="21"/>
      <c r="D21" s="4" t="s">
        <v>14</v>
      </c>
      <c r="E21" s="24">
        <f t="shared" ref="E21:N21" si="7">SUM(E14:E20)</f>
        <v>760</v>
      </c>
      <c r="F21" s="38">
        <f t="shared" si="7"/>
        <v>890</v>
      </c>
      <c r="G21" s="7">
        <f t="shared" si="7"/>
        <v>19.224999999999998</v>
      </c>
      <c r="H21" s="34">
        <f t="shared" si="7"/>
        <v>21.826000000000001</v>
      </c>
      <c r="I21" s="24">
        <f t="shared" si="7"/>
        <v>28.044999999999998</v>
      </c>
      <c r="J21" s="34">
        <f t="shared" si="7"/>
        <v>33.505999999999993</v>
      </c>
      <c r="K21" s="24">
        <f t="shared" si="7"/>
        <v>106.625</v>
      </c>
      <c r="L21" s="34">
        <f t="shared" si="7"/>
        <v>118.798</v>
      </c>
      <c r="M21" s="7">
        <f t="shared" si="7"/>
        <v>755.80499999999995</v>
      </c>
      <c r="N21" s="36">
        <f t="shared" si="7"/>
        <v>864.05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ht="15.75" thickBot="1" x14ac:dyDescent="0.3">
      <c r="B22" s="254"/>
      <c r="C22" s="66"/>
      <c r="D22" s="67" t="s">
        <v>12</v>
      </c>
      <c r="E22" s="71"/>
      <c r="F22" s="72"/>
      <c r="G22" s="68">
        <f t="shared" ref="G22:N22" si="8">G12+G21</f>
        <v>48.714999999999996</v>
      </c>
      <c r="H22" s="69">
        <f t="shared" si="8"/>
        <v>56.446000000000012</v>
      </c>
      <c r="I22" s="68">
        <f t="shared" si="8"/>
        <v>47.365000000000002</v>
      </c>
      <c r="J22" s="69">
        <f t="shared" si="8"/>
        <v>56.485999999999997</v>
      </c>
      <c r="K22" s="68">
        <f t="shared" si="8"/>
        <v>182.70499999999998</v>
      </c>
      <c r="L22" s="69">
        <f t="shared" si="8"/>
        <v>202.57799999999997</v>
      </c>
      <c r="M22" s="68">
        <f t="shared" si="8"/>
        <v>1351.9650000000001</v>
      </c>
      <c r="N22" s="70">
        <f t="shared" si="8"/>
        <v>1544.47</v>
      </c>
      <c r="O22" s="1"/>
      <c r="P22" s="3"/>
      <c r="Q22" s="5" t="s">
        <v>25</v>
      </c>
      <c r="R22" s="5"/>
      <c r="S22" s="5"/>
      <c r="T22" s="5"/>
      <c r="U22" s="1"/>
      <c r="V22" s="3"/>
      <c r="W22" s="5"/>
      <c r="X22" s="5"/>
      <c r="Y22" s="5"/>
      <c r="Z22" s="5"/>
    </row>
    <row r="23" spans="2:26" x14ac:dyDescent="0.25">
      <c r="B23" s="253" t="s">
        <v>246</v>
      </c>
      <c r="C23" s="209" t="s">
        <v>8</v>
      </c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1"/>
    </row>
    <row r="24" spans="2:26" x14ac:dyDescent="0.25">
      <c r="B24" s="254"/>
      <c r="C24" s="20" t="s">
        <v>69</v>
      </c>
      <c r="D24" s="8" t="s">
        <v>24</v>
      </c>
      <c r="E24" s="88">
        <v>150</v>
      </c>
      <c r="F24" s="30">
        <v>200</v>
      </c>
      <c r="G24" s="22">
        <f>E24*3.63/100</f>
        <v>5.4450000000000003</v>
      </c>
      <c r="H24" s="33">
        <f>F24*3.63/100</f>
        <v>7.26</v>
      </c>
      <c r="I24" s="22">
        <f>E24*3.23/100</f>
        <v>4.8449999999999998</v>
      </c>
      <c r="J24" s="33">
        <f>F24*3.23/100</f>
        <v>6.46</v>
      </c>
      <c r="K24" s="22">
        <f>E24*17.68/100</f>
        <v>26.52</v>
      </c>
      <c r="L24" s="33">
        <f>F24*17.68/100</f>
        <v>35.36</v>
      </c>
      <c r="M24" s="22">
        <f t="shared" ref="M24:N26" si="9">G24*4+I24*9+K24*4</f>
        <v>171.46499999999997</v>
      </c>
      <c r="N24" s="35">
        <f t="shared" si="9"/>
        <v>228.62</v>
      </c>
      <c r="Q24" s="16" t="s">
        <v>25</v>
      </c>
    </row>
    <row r="25" spans="2:26" x14ac:dyDescent="0.25">
      <c r="B25" s="254"/>
      <c r="C25" s="119" t="s">
        <v>171</v>
      </c>
      <c r="D25" s="120" t="s">
        <v>172</v>
      </c>
      <c r="E25" s="88">
        <v>10</v>
      </c>
      <c r="F25" s="118">
        <v>10</v>
      </c>
      <c r="G25" s="22">
        <f>E25*0.8/100</f>
        <v>0.08</v>
      </c>
      <c r="H25" s="33">
        <f>F25*0.8/100</f>
        <v>0.08</v>
      </c>
      <c r="I25" s="22">
        <f>E25*72.5/100</f>
        <v>7.25</v>
      </c>
      <c r="J25" s="33">
        <f>F25*72.5/100</f>
        <v>7.25</v>
      </c>
      <c r="K25" s="22">
        <f>E25*1.3/100</f>
        <v>0.13</v>
      </c>
      <c r="L25" s="33">
        <f>F25*1.3/100</f>
        <v>0.13</v>
      </c>
      <c r="M25" s="22">
        <f t="shared" si="9"/>
        <v>66.089999999999989</v>
      </c>
      <c r="N25" s="35">
        <f t="shared" si="9"/>
        <v>66.089999999999989</v>
      </c>
    </row>
    <row r="26" spans="2:26" x14ac:dyDescent="0.25">
      <c r="B26" s="254"/>
      <c r="C26" s="21" t="s">
        <v>167</v>
      </c>
      <c r="D26" s="6" t="s">
        <v>168</v>
      </c>
      <c r="E26" s="88">
        <v>150</v>
      </c>
      <c r="F26" s="31">
        <v>150</v>
      </c>
      <c r="G26" s="22">
        <f>E26*0.4/100</f>
        <v>0.6</v>
      </c>
      <c r="H26" s="33">
        <f>F26*0.4/100</f>
        <v>0.6</v>
      </c>
      <c r="I26" s="22">
        <f>E26*0.4/100</f>
        <v>0.6</v>
      </c>
      <c r="J26" s="33">
        <f>F26*0.4/100</f>
        <v>0.6</v>
      </c>
      <c r="K26" s="22">
        <f>E26*9.8/100</f>
        <v>14.7</v>
      </c>
      <c r="L26" s="33">
        <f>F26*9.8/100</f>
        <v>14.7</v>
      </c>
      <c r="M26" s="22">
        <f t="shared" si="9"/>
        <v>66.599999999999994</v>
      </c>
      <c r="N26" s="35">
        <f t="shared" si="9"/>
        <v>66.599999999999994</v>
      </c>
    </row>
    <row r="27" spans="2:26" x14ac:dyDescent="0.25">
      <c r="B27" s="254"/>
      <c r="C27" s="21" t="s">
        <v>87</v>
      </c>
      <c r="D27" s="6" t="s">
        <v>88</v>
      </c>
      <c r="E27" s="63">
        <v>40</v>
      </c>
      <c r="F27" s="64">
        <v>40</v>
      </c>
      <c r="G27" s="22">
        <f>E27*7.6/100</f>
        <v>3.04</v>
      </c>
      <c r="H27" s="33">
        <f>F27*7.6/100</f>
        <v>3.04</v>
      </c>
      <c r="I27" s="22">
        <f>E27*0.8/100</f>
        <v>0.32</v>
      </c>
      <c r="J27" s="33">
        <f>F27*0.8/100</f>
        <v>0.32</v>
      </c>
      <c r="K27" s="22">
        <f>E27*49.2/100</f>
        <v>19.68</v>
      </c>
      <c r="L27" s="33">
        <f>F27*49.2/100</f>
        <v>19.68</v>
      </c>
      <c r="M27" s="22">
        <f t="shared" ref="M27:N28" si="10">G27*4+I27*9+K27*4</f>
        <v>93.759999999999991</v>
      </c>
      <c r="N27" s="35">
        <f t="shared" si="10"/>
        <v>93.759999999999991</v>
      </c>
    </row>
    <row r="28" spans="2:26" x14ac:dyDescent="0.25">
      <c r="B28" s="254"/>
      <c r="C28" s="20" t="s">
        <v>80</v>
      </c>
      <c r="D28" s="9" t="s">
        <v>81</v>
      </c>
      <c r="E28" s="88">
        <v>200</v>
      </c>
      <c r="F28" s="31">
        <v>200</v>
      </c>
      <c r="G28" s="22">
        <f>E28*1.4/200</f>
        <v>1.4</v>
      </c>
      <c r="H28" s="33">
        <f>F28*1.4/200</f>
        <v>1.4</v>
      </c>
      <c r="I28" s="22">
        <f>E28*1.2/200</f>
        <v>1.2</v>
      </c>
      <c r="J28" s="33">
        <f>F28*1.2/200</f>
        <v>1.2</v>
      </c>
      <c r="K28" s="22">
        <f>E28*11.4/200</f>
        <v>11.4</v>
      </c>
      <c r="L28" s="33">
        <f>F28*11.4/200</f>
        <v>11.4</v>
      </c>
      <c r="M28" s="22">
        <f t="shared" si="10"/>
        <v>62</v>
      </c>
      <c r="N28" s="35">
        <f t="shared" si="10"/>
        <v>62</v>
      </c>
    </row>
    <row r="29" spans="2:26" x14ac:dyDescent="0.25">
      <c r="B29" s="254"/>
      <c r="C29" s="26"/>
      <c r="D29" s="4" t="s">
        <v>13</v>
      </c>
      <c r="E29" s="24">
        <f t="shared" ref="E29:L29" si="11">SUM(E24:E28)</f>
        <v>550</v>
      </c>
      <c r="F29" s="32">
        <f t="shared" si="11"/>
        <v>600</v>
      </c>
      <c r="G29" s="7">
        <f t="shared" si="11"/>
        <v>10.565</v>
      </c>
      <c r="H29" s="34">
        <f t="shared" si="11"/>
        <v>12.38</v>
      </c>
      <c r="I29" s="7">
        <f t="shared" si="11"/>
        <v>14.214999999999998</v>
      </c>
      <c r="J29" s="34">
        <f t="shared" si="11"/>
        <v>15.83</v>
      </c>
      <c r="K29" s="7">
        <f t="shared" si="11"/>
        <v>72.429999999999993</v>
      </c>
      <c r="L29" s="34">
        <f t="shared" si="11"/>
        <v>81.27000000000001</v>
      </c>
      <c r="M29" s="7">
        <f t="shared" ref="M29:N29" si="12">G29*4+I29*9+K29*4</f>
        <v>459.91499999999996</v>
      </c>
      <c r="N29" s="36">
        <f t="shared" si="12"/>
        <v>517.07000000000005</v>
      </c>
    </row>
    <row r="30" spans="2:26" x14ac:dyDescent="0.25">
      <c r="B30" s="254"/>
      <c r="C30" s="231" t="s">
        <v>9</v>
      </c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3"/>
    </row>
    <row r="31" spans="2:26" x14ac:dyDescent="0.25">
      <c r="B31" s="254"/>
      <c r="C31" s="20" t="s">
        <v>105</v>
      </c>
      <c r="D31" s="9" t="s">
        <v>106</v>
      </c>
      <c r="E31" s="131">
        <v>60</v>
      </c>
      <c r="F31" s="43">
        <v>100</v>
      </c>
      <c r="G31" s="23">
        <f>E31*0.7/100</f>
        <v>0.42</v>
      </c>
      <c r="H31" s="44">
        <f>F31*0.7/100</f>
        <v>0.7</v>
      </c>
      <c r="I31" s="23">
        <f>E31*0.1/100</f>
        <v>0.06</v>
      </c>
      <c r="J31" s="44">
        <f>F31*0.1/100</f>
        <v>0.1</v>
      </c>
      <c r="K31" s="23">
        <f>E31*1.9/100</f>
        <v>1.1399999999999999</v>
      </c>
      <c r="L31" s="44">
        <f>F31*1.9/100</f>
        <v>1.9</v>
      </c>
      <c r="M31" s="23">
        <f t="shared" ref="M31:N31" si="13">G31*4+I31*9+K31*4</f>
        <v>6.7799999999999994</v>
      </c>
      <c r="N31" s="41">
        <f t="shared" si="13"/>
        <v>11.299999999999999</v>
      </c>
    </row>
    <row r="32" spans="2:26" x14ac:dyDescent="0.25">
      <c r="B32" s="254"/>
      <c r="C32" s="59" t="s">
        <v>73</v>
      </c>
      <c r="D32" s="9" t="s">
        <v>74</v>
      </c>
      <c r="E32" s="88">
        <v>200</v>
      </c>
      <c r="F32" s="37">
        <v>250</v>
      </c>
      <c r="G32" s="22">
        <f>E32*1.05/100</f>
        <v>2.1</v>
      </c>
      <c r="H32" s="33">
        <f>F32*1.05/100</f>
        <v>2.625</v>
      </c>
      <c r="I32" s="22">
        <f>E32*2.04/100</f>
        <v>4.08</v>
      </c>
      <c r="J32" s="33">
        <f>F32*2.04/100</f>
        <v>5.0999999999999996</v>
      </c>
      <c r="K32" s="22">
        <f>E32*5.3/100</f>
        <v>10.6</v>
      </c>
      <c r="L32" s="33">
        <f>F32*5.3/100</f>
        <v>13.25</v>
      </c>
      <c r="M32" s="23">
        <f t="shared" ref="M32:N33" si="14">G32*4+I32*9+K32*4</f>
        <v>87.52</v>
      </c>
      <c r="N32" s="41">
        <f t="shared" si="14"/>
        <v>109.4</v>
      </c>
    </row>
    <row r="33" spans="2:14" x14ac:dyDescent="0.25">
      <c r="B33" s="254"/>
      <c r="C33" s="21" t="s">
        <v>228</v>
      </c>
      <c r="D33" s="6" t="s">
        <v>229</v>
      </c>
      <c r="E33" s="88">
        <v>150</v>
      </c>
      <c r="F33" s="31">
        <v>180</v>
      </c>
      <c r="G33" s="22">
        <f>E33*2.1/100</f>
        <v>3.15</v>
      </c>
      <c r="H33" s="33">
        <f>F33*2.1/100</f>
        <v>3.78</v>
      </c>
      <c r="I33" s="22">
        <f>E33*6.4/100</f>
        <v>9.6</v>
      </c>
      <c r="J33" s="33">
        <f>F33*6.4/100</f>
        <v>11.52</v>
      </c>
      <c r="K33" s="22">
        <f>E33*18.5/100</f>
        <v>27.75</v>
      </c>
      <c r="L33" s="33">
        <f>F33*18.5/100</f>
        <v>33.299999999999997</v>
      </c>
      <c r="M33" s="22">
        <f>G33*4+I33*9+K33*4</f>
        <v>210</v>
      </c>
      <c r="N33" s="35">
        <f t="shared" si="14"/>
        <v>252</v>
      </c>
    </row>
    <row r="34" spans="2:14" x14ac:dyDescent="0.25">
      <c r="B34" s="254"/>
      <c r="C34" s="20" t="s">
        <v>230</v>
      </c>
      <c r="D34" s="9" t="s">
        <v>231</v>
      </c>
      <c r="E34" s="88">
        <v>90</v>
      </c>
      <c r="F34" s="31">
        <v>100</v>
      </c>
      <c r="G34" s="22">
        <f>E34*11/100</f>
        <v>9.9</v>
      </c>
      <c r="H34" s="33">
        <f>F34*11/100</f>
        <v>11</v>
      </c>
      <c r="I34" s="22">
        <f>E34*12.4/100</f>
        <v>11.16</v>
      </c>
      <c r="J34" s="33">
        <f>F34*12.4/100</f>
        <v>12.4</v>
      </c>
      <c r="K34" s="22">
        <f>E34*4/100</f>
        <v>3.6</v>
      </c>
      <c r="L34" s="33">
        <f>F34*4/100</f>
        <v>4</v>
      </c>
      <c r="M34" s="22">
        <f t="shared" ref="M34:N36" si="15">G34*4+I34*9+K34*4</f>
        <v>154.44</v>
      </c>
      <c r="N34" s="35">
        <f t="shared" si="15"/>
        <v>171.60000000000002</v>
      </c>
    </row>
    <row r="35" spans="2:14" x14ac:dyDescent="0.25">
      <c r="B35" s="254"/>
      <c r="C35" s="20" t="s">
        <v>71</v>
      </c>
      <c r="D35" s="9" t="s">
        <v>72</v>
      </c>
      <c r="E35" s="130">
        <v>50</v>
      </c>
      <c r="F35" s="31">
        <v>50</v>
      </c>
      <c r="G35" s="22">
        <f>E35*1.3/50</f>
        <v>1.3</v>
      </c>
      <c r="H35" s="33">
        <f>F35*1.3/50</f>
        <v>1.3</v>
      </c>
      <c r="I35" s="22">
        <f>E35*4.8/50</f>
        <v>4.8</v>
      </c>
      <c r="J35" s="33">
        <f>F35*4.8/50</f>
        <v>4.8</v>
      </c>
      <c r="K35" s="22">
        <f>E35*4.7/50</f>
        <v>4.7</v>
      </c>
      <c r="L35" s="33">
        <f>F35*4.7/50</f>
        <v>4.7</v>
      </c>
      <c r="M35" s="22">
        <f t="shared" si="15"/>
        <v>67.2</v>
      </c>
      <c r="N35" s="35">
        <f t="shared" si="15"/>
        <v>67.2</v>
      </c>
    </row>
    <row r="36" spans="2:14" x14ac:dyDescent="0.25">
      <c r="B36" s="254"/>
      <c r="C36" s="20" t="s">
        <v>190</v>
      </c>
      <c r="D36" s="9" t="s">
        <v>191</v>
      </c>
      <c r="E36" s="88">
        <v>200</v>
      </c>
      <c r="F36" s="31">
        <v>200</v>
      </c>
      <c r="G36" s="22">
        <f>E36*0.67/200</f>
        <v>0.67</v>
      </c>
      <c r="H36" s="33">
        <f>F36*0.67/200</f>
        <v>0.67</v>
      </c>
      <c r="I36" s="22">
        <f>E36*0.27/200</f>
        <v>0.27</v>
      </c>
      <c r="J36" s="33">
        <f>F36*0.27/200</f>
        <v>0.27</v>
      </c>
      <c r="K36" s="22">
        <f>E36*18.3/200</f>
        <v>18.3</v>
      </c>
      <c r="L36" s="33">
        <f>F36*18.3/200</f>
        <v>18.3</v>
      </c>
      <c r="M36" s="22">
        <f t="shared" si="15"/>
        <v>78.31</v>
      </c>
      <c r="N36" s="35">
        <f t="shared" si="15"/>
        <v>78.31</v>
      </c>
    </row>
    <row r="37" spans="2:14" x14ac:dyDescent="0.25">
      <c r="B37" s="254"/>
      <c r="C37" s="21" t="s">
        <v>86</v>
      </c>
      <c r="D37" s="6" t="s">
        <v>23</v>
      </c>
      <c r="E37" s="63">
        <v>30</v>
      </c>
      <c r="F37" s="64">
        <v>30</v>
      </c>
      <c r="G37" s="22">
        <f>E37*8/100</f>
        <v>2.4</v>
      </c>
      <c r="H37" s="33">
        <f>F37*8/100</f>
        <v>2.4</v>
      </c>
      <c r="I37" s="22">
        <f>E37*1.5/100</f>
        <v>0.45</v>
      </c>
      <c r="J37" s="33">
        <f>F37*1.5/100</f>
        <v>0.45</v>
      </c>
      <c r="K37" s="22">
        <f>E37*40.1/100</f>
        <v>12.03</v>
      </c>
      <c r="L37" s="33">
        <f>F37*40.1/100</f>
        <v>12.03</v>
      </c>
      <c r="M37" s="22">
        <f t="shared" ref="M37:N38" si="16">G37*4+I37*9+K37*4</f>
        <v>61.769999999999996</v>
      </c>
      <c r="N37" s="35">
        <f t="shared" si="16"/>
        <v>61.769999999999996</v>
      </c>
    </row>
    <row r="38" spans="2:14" x14ac:dyDescent="0.25">
      <c r="B38" s="254"/>
      <c r="C38" s="21" t="s">
        <v>87</v>
      </c>
      <c r="D38" s="6" t="s">
        <v>88</v>
      </c>
      <c r="E38" s="63">
        <v>50</v>
      </c>
      <c r="F38" s="64">
        <v>50</v>
      </c>
      <c r="G38" s="22">
        <f>E38*7.6/100</f>
        <v>3.8</v>
      </c>
      <c r="H38" s="33">
        <f>F38*7.6/100</f>
        <v>3.8</v>
      </c>
      <c r="I38" s="22">
        <f>E38*0.8/100</f>
        <v>0.4</v>
      </c>
      <c r="J38" s="33">
        <f>F38*0.8/100</f>
        <v>0.4</v>
      </c>
      <c r="K38" s="22">
        <f>E38*49.2/100</f>
        <v>24.6</v>
      </c>
      <c r="L38" s="33">
        <f>F38*49.2/100</f>
        <v>24.6</v>
      </c>
      <c r="M38" s="22">
        <f t="shared" si="16"/>
        <v>117.2</v>
      </c>
      <c r="N38" s="35">
        <f t="shared" si="16"/>
        <v>117.2</v>
      </c>
    </row>
    <row r="39" spans="2:14" x14ac:dyDescent="0.25">
      <c r="B39" s="254"/>
      <c r="C39" s="21"/>
      <c r="D39" s="4" t="s">
        <v>14</v>
      </c>
      <c r="E39" s="24">
        <f t="shared" ref="E39:N39" si="17">SUM(E31:E38)</f>
        <v>830</v>
      </c>
      <c r="F39" s="38">
        <f t="shared" si="17"/>
        <v>960</v>
      </c>
      <c r="G39" s="7">
        <f t="shared" si="17"/>
        <v>23.740000000000002</v>
      </c>
      <c r="H39" s="34">
        <f t="shared" si="17"/>
        <v>26.275000000000002</v>
      </c>
      <c r="I39" s="24">
        <f t="shared" si="17"/>
        <v>30.819999999999997</v>
      </c>
      <c r="J39" s="34">
        <f t="shared" si="17"/>
        <v>35.04</v>
      </c>
      <c r="K39" s="7">
        <f t="shared" si="17"/>
        <v>102.72</v>
      </c>
      <c r="L39" s="34">
        <f t="shared" si="17"/>
        <v>112.08000000000001</v>
      </c>
      <c r="M39" s="7">
        <f t="shared" si="17"/>
        <v>783.22</v>
      </c>
      <c r="N39" s="36">
        <f t="shared" si="17"/>
        <v>868.78</v>
      </c>
    </row>
    <row r="40" spans="2:14" ht="15.75" thickBot="1" x14ac:dyDescent="0.3">
      <c r="B40" s="255"/>
      <c r="C40" s="25"/>
      <c r="D40" s="17" t="s">
        <v>12</v>
      </c>
      <c r="E40" s="18"/>
      <c r="F40" s="39"/>
      <c r="G40" s="19">
        <f t="shared" ref="G40:N40" si="18">G29+G39</f>
        <v>34.305</v>
      </c>
      <c r="H40" s="40">
        <f t="shared" si="18"/>
        <v>38.655000000000001</v>
      </c>
      <c r="I40" s="19">
        <f t="shared" si="18"/>
        <v>45.034999999999997</v>
      </c>
      <c r="J40" s="40">
        <f t="shared" si="18"/>
        <v>50.87</v>
      </c>
      <c r="K40" s="19">
        <f t="shared" si="18"/>
        <v>175.14999999999998</v>
      </c>
      <c r="L40" s="40">
        <f t="shared" si="18"/>
        <v>193.35000000000002</v>
      </c>
      <c r="M40" s="19">
        <f t="shared" si="18"/>
        <v>1243.135</v>
      </c>
      <c r="N40" s="42">
        <f t="shared" si="18"/>
        <v>1385.85</v>
      </c>
    </row>
    <row r="41" spans="2:14" ht="15" customHeight="1" x14ac:dyDescent="0.25">
      <c r="B41" s="265" t="s">
        <v>247</v>
      </c>
      <c r="C41" s="202" t="s">
        <v>8</v>
      </c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4"/>
    </row>
    <row r="42" spans="2:14" x14ac:dyDescent="0.25">
      <c r="B42" s="266"/>
      <c r="C42" s="20" t="s">
        <v>109</v>
      </c>
      <c r="D42" s="8" t="s">
        <v>110</v>
      </c>
      <c r="E42" s="61">
        <v>150</v>
      </c>
      <c r="F42" s="30">
        <v>200</v>
      </c>
      <c r="G42" s="22">
        <f>E42*3.5/100</f>
        <v>5.25</v>
      </c>
      <c r="H42" s="33">
        <f>F42*3.5/100</f>
        <v>7</v>
      </c>
      <c r="I42" s="22">
        <f>E42*4.13/100</f>
        <v>6.1950000000000003</v>
      </c>
      <c r="J42" s="33">
        <f>F42*4.13/100</f>
        <v>8.26</v>
      </c>
      <c r="K42" s="22">
        <f>E42*14.21/100</f>
        <v>21.315000000000001</v>
      </c>
      <c r="L42" s="33">
        <f>F42*14.21/100</f>
        <v>28.42</v>
      </c>
      <c r="M42" s="22">
        <f t="shared" ref="M42:N43" si="19">G42*4+I42*9+K42*4</f>
        <v>162.01499999999999</v>
      </c>
      <c r="N42" s="35">
        <f t="shared" si="19"/>
        <v>216.02</v>
      </c>
    </row>
    <row r="43" spans="2:14" x14ac:dyDescent="0.25">
      <c r="B43" s="266"/>
      <c r="C43" s="119" t="s">
        <v>165</v>
      </c>
      <c r="D43" s="120" t="s">
        <v>166</v>
      </c>
      <c r="E43" s="123">
        <v>15</v>
      </c>
      <c r="F43" s="118">
        <v>15</v>
      </c>
      <c r="G43" s="22">
        <f>E43*23.2/100</f>
        <v>3.48</v>
      </c>
      <c r="H43" s="33">
        <f>F43*23.2/100</f>
        <v>3.48</v>
      </c>
      <c r="I43" s="22">
        <f>E43*29.5/100</f>
        <v>4.4249999999999998</v>
      </c>
      <c r="J43" s="33">
        <f>F43*29.5/100</f>
        <v>4.4249999999999998</v>
      </c>
      <c r="K43" s="22">
        <f>E43*0/100</f>
        <v>0</v>
      </c>
      <c r="L43" s="33">
        <f>F43*0/100</f>
        <v>0</v>
      </c>
      <c r="M43" s="22">
        <f t="shared" si="19"/>
        <v>53.744999999999997</v>
      </c>
      <c r="N43" s="35">
        <f t="shared" si="19"/>
        <v>53.744999999999997</v>
      </c>
    </row>
    <row r="44" spans="2:14" x14ac:dyDescent="0.25">
      <c r="B44" s="266"/>
      <c r="C44" s="21" t="s">
        <v>167</v>
      </c>
      <c r="D44" s="6" t="s">
        <v>168</v>
      </c>
      <c r="E44" s="123">
        <v>150</v>
      </c>
      <c r="F44" s="31">
        <v>150</v>
      </c>
      <c r="G44" s="22">
        <f>E44*0.4/100</f>
        <v>0.6</v>
      </c>
      <c r="H44" s="33">
        <f>F44*0.4/100</f>
        <v>0.6</v>
      </c>
      <c r="I44" s="22">
        <f>E44*0.4/100</f>
        <v>0.6</v>
      </c>
      <c r="J44" s="33">
        <f>F44*0.4/100</f>
        <v>0.6</v>
      </c>
      <c r="K44" s="22">
        <f>E44*9.8/100</f>
        <v>14.7</v>
      </c>
      <c r="L44" s="33">
        <f>F44*9.8/100</f>
        <v>14.7</v>
      </c>
      <c r="M44" s="22">
        <f t="shared" ref="M44" si="20">G44*4+I44*9+K44*4</f>
        <v>66.599999999999994</v>
      </c>
      <c r="N44" s="35">
        <f t="shared" ref="N44" si="21">H44*4+J44*9+L44*4</f>
        <v>66.599999999999994</v>
      </c>
    </row>
    <row r="45" spans="2:14" x14ac:dyDescent="0.25">
      <c r="B45" s="266"/>
      <c r="C45" s="21" t="s">
        <v>87</v>
      </c>
      <c r="D45" s="6" t="s">
        <v>88</v>
      </c>
      <c r="E45" s="63">
        <v>40</v>
      </c>
      <c r="F45" s="64">
        <v>40</v>
      </c>
      <c r="G45" s="22">
        <f>E45*7.6/100</f>
        <v>3.04</v>
      </c>
      <c r="H45" s="33">
        <f>F45*7.6/100</f>
        <v>3.04</v>
      </c>
      <c r="I45" s="22">
        <f>E45*0.8/100</f>
        <v>0.32</v>
      </c>
      <c r="J45" s="33">
        <f>F45*0.8/100</f>
        <v>0.32</v>
      </c>
      <c r="K45" s="22">
        <f>E45*49.2/100</f>
        <v>19.68</v>
      </c>
      <c r="L45" s="33">
        <f>F45*49.2/100</f>
        <v>19.68</v>
      </c>
      <c r="M45" s="22">
        <f t="shared" ref="M45:N46" si="22">G45*4+I45*9+K45*4</f>
        <v>93.759999999999991</v>
      </c>
      <c r="N45" s="35">
        <f t="shared" si="22"/>
        <v>93.759999999999991</v>
      </c>
    </row>
    <row r="46" spans="2:14" x14ac:dyDescent="0.25">
      <c r="B46" s="266"/>
      <c r="C46" s="21" t="s">
        <v>50</v>
      </c>
      <c r="D46" s="6" t="s">
        <v>11</v>
      </c>
      <c r="E46" s="123">
        <v>200</v>
      </c>
      <c r="F46" s="31">
        <v>200</v>
      </c>
      <c r="G46" s="22">
        <f>E46*0.3/200</f>
        <v>0.3</v>
      </c>
      <c r="H46" s="33">
        <f>F46*0.3/200</f>
        <v>0.3</v>
      </c>
      <c r="I46" s="22">
        <f t="shared" ref="I46:J46" si="23">E46*0.1/200</f>
        <v>0.1</v>
      </c>
      <c r="J46" s="33">
        <f t="shared" si="23"/>
        <v>0.1</v>
      </c>
      <c r="K46" s="22">
        <f>E46*9.5/200</f>
        <v>9.5</v>
      </c>
      <c r="L46" s="33">
        <f>F46*9.5/200</f>
        <v>9.5</v>
      </c>
      <c r="M46" s="22">
        <f t="shared" si="22"/>
        <v>40.1</v>
      </c>
      <c r="N46" s="35">
        <f t="shared" si="22"/>
        <v>40.1</v>
      </c>
    </row>
    <row r="47" spans="2:14" x14ac:dyDescent="0.25">
      <c r="B47" s="266"/>
      <c r="C47" s="26"/>
      <c r="D47" s="4" t="s">
        <v>13</v>
      </c>
      <c r="E47" s="24">
        <f t="shared" ref="E47:L47" si="24">SUM(E42:E46)</f>
        <v>555</v>
      </c>
      <c r="F47" s="32">
        <f t="shared" si="24"/>
        <v>605</v>
      </c>
      <c r="G47" s="7">
        <f t="shared" si="24"/>
        <v>12.670000000000002</v>
      </c>
      <c r="H47" s="34">
        <f t="shared" si="24"/>
        <v>14.420000000000002</v>
      </c>
      <c r="I47" s="7">
        <f t="shared" si="24"/>
        <v>11.64</v>
      </c>
      <c r="J47" s="34">
        <f t="shared" si="24"/>
        <v>13.704999999999998</v>
      </c>
      <c r="K47" s="7">
        <f t="shared" si="24"/>
        <v>65.194999999999993</v>
      </c>
      <c r="L47" s="34">
        <f t="shared" si="24"/>
        <v>72.300000000000011</v>
      </c>
      <c r="M47" s="7">
        <f t="shared" ref="M47" si="25">G47*4+I47*9+K47*4</f>
        <v>416.21999999999997</v>
      </c>
      <c r="N47" s="36">
        <f t="shared" ref="N47" si="26">H47*4+J47*9+L47*4</f>
        <v>470.22500000000002</v>
      </c>
    </row>
    <row r="48" spans="2:14" x14ac:dyDescent="0.25">
      <c r="B48" s="266"/>
      <c r="C48" s="231" t="s">
        <v>9</v>
      </c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3"/>
    </row>
    <row r="49" spans="2:15" x14ac:dyDescent="0.25">
      <c r="B49" s="266"/>
      <c r="C49" s="20" t="s">
        <v>188</v>
      </c>
      <c r="D49" s="9" t="s">
        <v>189</v>
      </c>
      <c r="E49" s="123">
        <v>60</v>
      </c>
      <c r="F49" s="37">
        <v>100</v>
      </c>
      <c r="G49" s="22">
        <f>E49*1.08/100</f>
        <v>0.64800000000000013</v>
      </c>
      <c r="H49" s="33">
        <f>F49*1.08/100</f>
        <v>1.08</v>
      </c>
      <c r="I49" s="22">
        <f>E49*6/100</f>
        <v>3.6</v>
      </c>
      <c r="J49" s="33">
        <f>F49*6/100</f>
        <v>6</v>
      </c>
      <c r="K49" s="22">
        <f>E49*8.9/100</f>
        <v>5.34</v>
      </c>
      <c r="L49" s="33">
        <f>F49*8.9/100</f>
        <v>8.9</v>
      </c>
      <c r="M49" s="23">
        <f t="shared" ref="M49:N53" si="27">G49*4+I49*9+K49*4</f>
        <v>56.351999999999997</v>
      </c>
      <c r="N49" s="41">
        <f t="shared" si="27"/>
        <v>93.92</v>
      </c>
    </row>
    <row r="50" spans="2:15" x14ac:dyDescent="0.25">
      <c r="B50" s="266"/>
      <c r="C50" s="126" t="s">
        <v>232</v>
      </c>
      <c r="D50" s="127" t="s">
        <v>233</v>
      </c>
      <c r="E50" s="123">
        <v>200</v>
      </c>
      <c r="F50" s="37">
        <v>250</v>
      </c>
      <c r="G50" s="22">
        <f>E50*2.48/100</f>
        <v>4.96</v>
      </c>
      <c r="H50" s="33">
        <f>F50*2.48/100</f>
        <v>6.2</v>
      </c>
      <c r="I50" s="22">
        <f>E50*2.24/100</f>
        <v>4.4800000000000004</v>
      </c>
      <c r="J50" s="33">
        <f>F50*2.24/100</f>
        <v>5.6</v>
      </c>
      <c r="K50" s="22">
        <f>E50*8.92/100</f>
        <v>17.84</v>
      </c>
      <c r="L50" s="33">
        <f>F50*8.92/100</f>
        <v>22.3</v>
      </c>
      <c r="M50" s="22">
        <f t="shared" si="27"/>
        <v>131.52000000000001</v>
      </c>
      <c r="N50" s="35">
        <f>H50*4+J50*9+L50*4</f>
        <v>164.4</v>
      </c>
    </row>
    <row r="51" spans="2:15" x14ac:dyDescent="0.25">
      <c r="B51" s="266"/>
      <c r="C51" s="21" t="s">
        <v>36</v>
      </c>
      <c r="D51" s="6" t="s">
        <v>10</v>
      </c>
      <c r="E51" s="123">
        <v>150</v>
      </c>
      <c r="F51" s="31">
        <v>180</v>
      </c>
      <c r="G51" s="22">
        <f>E51*3.63/100</f>
        <v>5.4450000000000003</v>
      </c>
      <c r="H51" s="33">
        <f>F51*3.63/100</f>
        <v>6.5339999999999998</v>
      </c>
      <c r="I51" s="22">
        <f>E51*4.5/100</f>
        <v>6.75</v>
      </c>
      <c r="J51" s="33">
        <f>F51*4.5/100</f>
        <v>8.1</v>
      </c>
      <c r="K51" s="22">
        <f>E51*22.5/100</f>
        <v>33.75</v>
      </c>
      <c r="L51" s="33">
        <f>F51*22.5/100</f>
        <v>40.5</v>
      </c>
      <c r="M51" s="22">
        <f t="shared" si="27"/>
        <v>217.53</v>
      </c>
      <c r="N51" s="35">
        <f t="shared" si="27"/>
        <v>261.036</v>
      </c>
    </row>
    <row r="52" spans="2:15" x14ac:dyDescent="0.25">
      <c r="B52" s="266"/>
      <c r="C52" s="20" t="s">
        <v>234</v>
      </c>
      <c r="D52" s="9" t="s">
        <v>235</v>
      </c>
      <c r="E52" s="123">
        <v>90</v>
      </c>
      <c r="F52" s="31">
        <v>100</v>
      </c>
      <c r="G52" s="22">
        <f>E52*11.55/100</f>
        <v>10.395</v>
      </c>
      <c r="H52" s="33">
        <f>F52*11.55/100</f>
        <v>11.55</v>
      </c>
      <c r="I52" s="22">
        <f>E52*17.8/100</f>
        <v>16.02</v>
      </c>
      <c r="J52" s="33">
        <f>F52*17.8/100</f>
        <v>17.8</v>
      </c>
      <c r="K52" s="22">
        <f>E52*7/100</f>
        <v>6.3</v>
      </c>
      <c r="L52" s="33">
        <f>F52*7/100</f>
        <v>7</v>
      </c>
      <c r="M52" s="22">
        <f t="shared" si="27"/>
        <v>210.95999999999998</v>
      </c>
      <c r="N52" s="35">
        <f t="shared" si="27"/>
        <v>234.40000000000003</v>
      </c>
    </row>
    <row r="53" spans="2:15" x14ac:dyDescent="0.25">
      <c r="B53" s="266"/>
      <c r="C53" s="21" t="s">
        <v>82</v>
      </c>
      <c r="D53" s="6" t="s">
        <v>83</v>
      </c>
      <c r="E53" s="123">
        <v>200</v>
      </c>
      <c r="F53" s="31">
        <v>200</v>
      </c>
      <c r="G53" s="22">
        <f>E53*0.5/100</f>
        <v>1</v>
      </c>
      <c r="H53" s="33">
        <f>F53*0.5/100</f>
        <v>1</v>
      </c>
      <c r="I53" s="22">
        <f>E53*0.1/100</f>
        <v>0.2</v>
      </c>
      <c r="J53" s="33">
        <f>F53*0.1/100</f>
        <v>0.2</v>
      </c>
      <c r="K53" s="22">
        <f>E53*10.1/100</f>
        <v>20.2</v>
      </c>
      <c r="L53" s="33">
        <f>F53*10.1/100</f>
        <v>20.2</v>
      </c>
      <c r="M53" s="22">
        <f t="shared" si="27"/>
        <v>86.6</v>
      </c>
      <c r="N53" s="35">
        <f t="shared" si="27"/>
        <v>86.6</v>
      </c>
    </row>
    <row r="54" spans="2:15" x14ac:dyDescent="0.25">
      <c r="B54" s="266"/>
      <c r="C54" s="21" t="s">
        <v>86</v>
      </c>
      <c r="D54" s="6" t="s">
        <v>23</v>
      </c>
      <c r="E54" s="63">
        <v>30</v>
      </c>
      <c r="F54" s="64">
        <v>30</v>
      </c>
      <c r="G54" s="22">
        <f>E54*8/100</f>
        <v>2.4</v>
      </c>
      <c r="H54" s="33">
        <f>F54*8/100</f>
        <v>2.4</v>
      </c>
      <c r="I54" s="22">
        <f>E54*1.5/100</f>
        <v>0.45</v>
      </c>
      <c r="J54" s="33">
        <f>F54*1.5/100</f>
        <v>0.45</v>
      </c>
      <c r="K54" s="22">
        <f>E54*40.1/100</f>
        <v>12.03</v>
      </c>
      <c r="L54" s="33">
        <f>F54*40.1/100</f>
        <v>12.03</v>
      </c>
      <c r="M54" s="22">
        <f t="shared" ref="M54:N55" si="28">G54*4+I54*9+K54*4</f>
        <v>61.769999999999996</v>
      </c>
      <c r="N54" s="35">
        <f t="shared" si="28"/>
        <v>61.769999999999996</v>
      </c>
    </row>
    <row r="55" spans="2:15" x14ac:dyDescent="0.25">
      <c r="B55" s="266"/>
      <c r="C55" s="21" t="s">
        <v>87</v>
      </c>
      <c r="D55" s="6" t="s">
        <v>88</v>
      </c>
      <c r="E55" s="63">
        <v>50</v>
      </c>
      <c r="F55" s="64">
        <v>50</v>
      </c>
      <c r="G55" s="22">
        <f>E55*7.6/100</f>
        <v>3.8</v>
      </c>
      <c r="H55" s="33">
        <f>F55*7.6/100</f>
        <v>3.8</v>
      </c>
      <c r="I55" s="22">
        <f>E55*0.8/100</f>
        <v>0.4</v>
      </c>
      <c r="J55" s="33">
        <f>F55*0.8/100</f>
        <v>0.4</v>
      </c>
      <c r="K55" s="22">
        <f>E55*49.2/100</f>
        <v>24.6</v>
      </c>
      <c r="L55" s="33">
        <f>F55*49.2/100</f>
        <v>24.6</v>
      </c>
      <c r="M55" s="22">
        <f t="shared" si="28"/>
        <v>117.2</v>
      </c>
      <c r="N55" s="35">
        <f t="shared" si="28"/>
        <v>117.2</v>
      </c>
    </row>
    <row r="56" spans="2:15" x14ac:dyDescent="0.25">
      <c r="B56" s="266"/>
      <c r="C56" s="21"/>
      <c r="D56" s="4" t="s">
        <v>14</v>
      </c>
      <c r="E56" s="24">
        <f t="shared" ref="E56:N56" si="29">SUM(E49:E55)</f>
        <v>780</v>
      </c>
      <c r="F56" s="38">
        <f t="shared" si="29"/>
        <v>910</v>
      </c>
      <c r="G56" s="7">
        <f t="shared" si="29"/>
        <v>28.648</v>
      </c>
      <c r="H56" s="34">
        <f t="shared" si="29"/>
        <v>32.564</v>
      </c>
      <c r="I56" s="24">
        <f t="shared" si="29"/>
        <v>31.9</v>
      </c>
      <c r="J56" s="34">
        <f t="shared" si="29"/>
        <v>38.550000000000004</v>
      </c>
      <c r="K56" s="7">
        <f t="shared" si="29"/>
        <v>120.06</v>
      </c>
      <c r="L56" s="34">
        <f t="shared" si="29"/>
        <v>135.53</v>
      </c>
      <c r="M56" s="7">
        <f t="shared" si="29"/>
        <v>881.93200000000013</v>
      </c>
      <c r="N56" s="36">
        <f t="shared" si="29"/>
        <v>1019.3260000000001</v>
      </c>
    </row>
    <row r="57" spans="2:15" ht="15.75" thickBot="1" x14ac:dyDescent="0.3">
      <c r="B57" s="267"/>
      <c r="C57" s="25"/>
      <c r="D57" s="17" t="s">
        <v>12</v>
      </c>
      <c r="E57" s="18"/>
      <c r="F57" s="39"/>
      <c r="G57" s="19">
        <f t="shared" ref="G57:N57" si="30">G47+G56</f>
        <v>41.317999999999998</v>
      </c>
      <c r="H57" s="40">
        <f t="shared" si="30"/>
        <v>46.984000000000002</v>
      </c>
      <c r="I57" s="19">
        <f t="shared" si="30"/>
        <v>43.54</v>
      </c>
      <c r="J57" s="40">
        <f t="shared" si="30"/>
        <v>52.255000000000003</v>
      </c>
      <c r="K57" s="19">
        <f t="shared" si="30"/>
        <v>185.255</v>
      </c>
      <c r="L57" s="40">
        <f t="shared" si="30"/>
        <v>207.83</v>
      </c>
      <c r="M57" s="19">
        <f t="shared" si="30"/>
        <v>1298.152</v>
      </c>
      <c r="N57" s="42">
        <f t="shared" si="30"/>
        <v>1489.5510000000002</v>
      </c>
    </row>
    <row r="58" spans="2:15" ht="21.75" customHeight="1" thickBot="1" x14ac:dyDescent="0.3">
      <c r="B58" s="54"/>
      <c r="C58" s="259" t="s">
        <v>55</v>
      </c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1"/>
    </row>
    <row r="59" spans="2:15" x14ac:dyDescent="0.25">
      <c r="B59" s="263" t="s">
        <v>28</v>
      </c>
      <c r="C59" s="264"/>
      <c r="D59" s="260" t="s">
        <v>29</v>
      </c>
      <c r="E59" s="261"/>
      <c r="F59" s="261"/>
      <c r="G59" s="261"/>
      <c r="H59" s="261"/>
      <c r="I59" s="261"/>
      <c r="J59" s="261"/>
      <c r="K59" s="261"/>
      <c r="L59" s="261"/>
      <c r="M59" s="261"/>
      <c r="N59" s="262"/>
    </row>
    <row r="60" spans="2:15" x14ac:dyDescent="0.25">
      <c r="B60" s="249"/>
      <c r="C60" s="250"/>
      <c r="D60" s="243" t="s">
        <v>42</v>
      </c>
      <c r="E60" s="244"/>
      <c r="F60" s="244"/>
      <c r="G60" s="244"/>
      <c r="H60" s="244"/>
      <c r="I60" s="244"/>
      <c r="J60" s="244"/>
      <c r="K60" s="244"/>
      <c r="L60" s="244"/>
      <c r="M60" s="244"/>
      <c r="N60" s="245"/>
    </row>
    <row r="61" spans="2:15" x14ac:dyDescent="0.25">
      <c r="B61" s="249" t="s">
        <v>30</v>
      </c>
      <c r="C61" s="250"/>
      <c r="D61" s="240" t="s">
        <v>31</v>
      </c>
      <c r="E61" s="241"/>
      <c r="F61" s="241"/>
      <c r="G61" s="241"/>
      <c r="H61" s="241"/>
      <c r="I61" s="241"/>
      <c r="J61" s="241"/>
      <c r="K61" s="241"/>
      <c r="L61" s="241"/>
      <c r="M61" s="241"/>
      <c r="N61" s="242"/>
    </row>
    <row r="62" spans="2:15" x14ac:dyDescent="0.25">
      <c r="B62" s="249"/>
      <c r="C62" s="250"/>
      <c r="D62" s="256" t="s">
        <v>32</v>
      </c>
      <c r="E62" s="257"/>
      <c r="F62" s="257"/>
      <c r="G62" s="257"/>
      <c r="H62" s="257"/>
      <c r="I62" s="257"/>
      <c r="J62" s="257"/>
      <c r="K62" s="257"/>
      <c r="L62" s="257"/>
      <c r="M62" s="257"/>
      <c r="N62" s="258"/>
    </row>
    <row r="63" spans="2:15" x14ac:dyDescent="0.25">
      <c r="B63" s="249" t="s">
        <v>33</v>
      </c>
      <c r="C63" s="250"/>
      <c r="D63" s="240" t="s">
        <v>31</v>
      </c>
      <c r="E63" s="241"/>
      <c r="F63" s="241"/>
      <c r="G63" s="241"/>
      <c r="H63" s="241"/>
      <c r="I63" s="241"/>
      <c r="J63" s="241"/>
      <c r="K63" s="241"/>
      <c r="L63" s="241"/>
      <c r="M63" s="241"/>
      <c r="N63" s="242"/>
    </row>
    <row r="64" spans="2:15" x14ac:dyDescent="0.25">
      <c r="B64" s="249"/>
      <c r="C64" s="250"/>
      <c r="D64" s="243" t="s">
        <v>34</v>
      </c>
      <c r="E64" s="244"/>
      <c r="F64" s="244"/>
      <c r="G64" s="244"/>
      <c r="H64" s="244"/>
      <c r="I64" s="244"/>
      <c r="J64" s="244"/>
      <c r="K64" s="244"/>
      <c r="L64" s="244"/>
      <c r="M64" s="244"/>
      <c r="N64" s="245"/>
    </row>
    <row r="65" spans="2:14" x14ac:dyDescent="0.25">
      <c r="B65" s="249" t="s">
        <v>39</v>
      </c>
      <c r="C65" s="250"/>
      <c r="D65" s="52" t="s">
        <v>40</v>
      </c>
      <c r="E65" s="10"/>
      <c r="F65" s="11"/>
      <c r="G65" s="11"/>
      <c r="H65" s="11"/>
      <c r="I65" s="11"/>
      <c r="J65" s="11"/>
      <c r="K65" s="11"/>
      <c r="L65" s="11"/>
      <c r="M65" s="11"/>
      <c r="N65" s="49"/>
    </row>
    <row r="66" spans="2:14" ht="15.75" thickBot="1" x14ac:dyDescent="0.3">
      <c r="B66" s="251"/>
      <c r="C66" s="252"/>
      <c r="D66" s="246" t="s">
        <v>41</v>
      </c>
      <c r="E66" s="247"/>
      <c r="F66" s="247"/>
      <c r="G66" s="247"/>
      <c r="H66" s="247"/>
      <c r="I66" s="247"/>
      <c r="J66" s="247"/>
      <c r="K66" s="247"/>
      <c r="L66" s="247"/>
      <c r="M66" s="247"/>
      <c r="N66" s="248"/>
    </row>
    <row r="69" spans="2:14" x14ac:dyDescent="0.25">
      <c r="D69" s="1"/>
    </row>
    <row r="70" spans="2:14" x14ac:dyDescent="0.25">
      <c r="D70" s="1"/>
      <c r="E70" s="16" t="s">
        <v>25</v>
      </c>
    </row>
    <row r="71" spans="2:14" x14ac:dyDescent="0.25">
      <c r="E71" s="16" t="s">
        <v>25</v>
      </c>
      <c r="F71" s="1"/>
    </row>
    <row r="79" spans="2:14" x14ac:dyDescent="0.25">
      <c r="J79" s="1"/>
    </row>
  </sheetData>
  <mergeCells count="31">
    <mergeCell ref="B6:B22"/>
    <mergeCell ref="B23:B40"/>
    <mergeCell ref="D62:N62"/>
    <mergeCell ref="C58:N58"/>
    <mergeCell ref="D59:N59"/>
    <mergeCell ref="D60:N60"/>
    <mergeCell ref="B59:C60"/>
    <mergeCell ref="C23:N23"/>
    <mergeCell ref="C30:N30"/>
    <mergeCell ref="B41:B57"/>
    <mergeCell ref="C41:N41"/>
    <mergeCell ref="C48:N48"/>
    <mergeCell ref="C13:N13"/>
    <mergeCell ref="D63:N63"/>
    <mergeCell ref="D64:N64"/>
    <mergeCell ref="D66:N66"/>
    <mergeCell ref="B61:C62"/>
    <mergeCell ref="B63:C64"/>
    <mergeCell ref="B65:C66"/>
    <mergeCell ref="D61:N61"/>
    <mergeCell ref="M3:N4"/>
    <mergeCell ref="G4:H4"/>
    <mergeCell ref="I4:J4"/>
    <mergeCell ref="K4:L4"/>
    <mergeCell ref="C6:N6"/>
    <mergeCell ref="G3:L3"/>
    <mergeCell ref="B2:E2"/>
    <mergeCell ref="B3:B5"/>
    <mergeCell ref="C3:C5"/>
    <mergeCell ref="D3:D5"/>
    <mergeCell ref="E3:F4"/>
  </mergeCells>
  <pageMargins left="0.23622047244094491" right="0.23622047244094491" top="0.19685039370078741" bottom="0.19685039370078741" header="0.31496062992125984" footer="0.31496062992125984"/>
  <pageSetup paperSize="9" scale="71" fitToHeight="0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сводная</vt:lpstr>
      <vt:lpstr>1-3 день</vt:lpstr>
      <vt:lpstr>4-6 день</vt:lpstr>
      <vt:lpstr>7-9 день</vt:lpstr>
      <vt:lpstr>10-12 день</vt:lpstr>
      <vt:lpstr>000</vt:lpstr>
      <vt:lpstr>'10-12 день'!Область_печати</vt:lpstr>
      <vt:lpstr>'7-9 день'!Область_печати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2025-04-29T08:13:42Z</dcterms:modified>
</cp:coreProperties>
</file>